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ubchenko.anna\Desktop\525\ДЕР\фін.плани охорони здоровя 2020 рік\Новая папка\"/>
    </mc:Choice>
  </mc:AlternateContent>
  <bookViews>
    <workbookView xWindow="0" yWindow="0" windowWidth="28800" windowHeight="11835" tabRatio="823"/>
  </bookViews>
  <sheets>
    <sheet name="Фінплан - зведені показники" sheetId="14" r:id="rId1"/>
    <sheet name="1.Фінансовий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5. Інша інформація" sheetId="10" r:id="rId6"/>
    <sheet name="Лист1" sheetId="20" r:id="rId7"/>
    <sheet name="Лист2" sheetId="2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1">'1.Фінансовий результат'!$8:$8</definedName>
    <definedName name="_xlnm.Print_Titles" localSheetId="2">'2. Розрахунки з бюджетом'!$8:$8</definedName>
    <definedName name="_xlnm.Print_Titles" localSheetId="3">'3. Рух грошових коштів'!$7:$7</definedName>
    <definedName name="_xlnm.Print_Titles" localSheetId="0">'Фінплан - зведені показники'!$14:$14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'1.Фінансовий результат'!$A$1:$J$163</definedName>
    <definedName name="_xlnm.Print_Area" localSheetId="2">'2. Розрахунки з бюджетом'!$A$4:$J$39</definedName>
    <definedName name="_xlnm.Print_Area" localSheetId="4">'4. Кап. інвестиції'!$A$1:$J$20</definedName>
    <definedName name="_xlnm.Print_Area" localSheetId="5">'5. Інша інформація'!$A$1:$AC$135</definedName>
    <definedName name="_xlnm.Print_Area" localSheetId="0">'Фінплан - зведені показники'!$A$1:$J$52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52511"/>
</workbook>
</file>

<file path=xl/calcChain.xml><?xml version="1.0" encoding="utf-8"?>
<calcChain xmlns="http://schemas.openxmlformats.org/spreadsheetml/2006/main">
  <c r="D39" i="2" l="1"/>
  <c r="D155" i="2" s="1"/>
  <c r="D38" i="2"/>
  <c r="B21" i="10"/>
  <c r="C35" i="2"/>
  <c r="C47" i="2"/>
  <c r="C40" i="2" l="1"/>
  <c r="C80" i="2"/>
  <c r="C157" i="2"/>
  <c r="C24" i="2" l="1"/>
  <c r="K14" i="2"/>
  <c r="C29" i="2"/>
  <c r="C45" i="2" l="1"/>
  <c r="C39" i="2"/>
  <c r="E37" i="2" l="1"/>
  <c r="E46" i="2"/>
  <c r="E45" i="2"/>
  <c r="E15" i="2"/>
  <c r="N120" i="10"/>
  <c r="K120" i="10"/>
  <c r="J119" i="10"/>
  <c r="J118" i="10"/>
  <c r="J117" i="10"/>
  <c r="F16" i="3"/>
  <c r="F15" i="3"/>
  <c r="J14" i="3"/>
  <c r="I14" i="3"/>
  <c r="I9" i="3" s="1"/>
  <c r="H14" i="3"/>
  <c r="H9" i="3" s="1"/>
  <c r="G14" i="3"/>
  <c r="G9" i="3" s="1"/>
  <c r="E14" i="3"/>
  <c r="E9" i="3" s="1"/>
  <c r="D14" i="3"/>
  <c r="D9" i="3" s="1"/>
  <c r="C14" i="3"/>
  <c r="F13" i="3"/>
  <c r="F12" i="3"/>
  <c r="F11" i="3"/>
  <c r="C11" i="3"/>
  <c r="F10" i="3"/>
  <c r="J9" i="3"/>
  <c r="H32" i="18" l="1"/>
  <c r="L116" i="10"/>
  <c r="H30" i="18"/>
  <c r="D32" i="18"/>
  <c r="D30" i="18"/>
  <c r="M116" i="10"/>
  <c r="M120" i="10" s="1"/>
  <c r="I32" i="18"/>
  <c r="I30" i="18"/>
  <c r="E32" i="18"/>
  <c r="E30" i="18"/>
  <c r="J32" i="18"/>
  <c r="J30" i="18"/>
  <c r="G30" i="18"/>
  <c r="G32" i="18"/>
  <c r="F14" i="3"/>
  <c r="C9" i="3"/>
  <c r="F9" i="3"/>
  <c r="F58" i="10"/>
  <c r="F47" i="10"/>
  <c r="F43" i="10"/>
  <c r="D58" i="10"/>
  <c r="D47" i="10"/>
  <c r="D43" i="10"/>
  <c r="J39" i="2"/>
  <c r="J38" i="2"/>
  <c r="I39" i="2"/>
  <c r="I38" i="2"/>
  <c r="H39" i="2"/>
  <c r="H38" i="2"/>
  <c r="G39" i="2"/>
  <c r="G38" i="2"/>
  <c r="B29" i="10"/>
  <c r="B28" i="10"/>
  <c r="C32" i="18" l="1"/>
  <c r="C30" i="18"/>
  <c r="L120" i="10"/>
  <c r="J116" i="10"/>
  <c r="J120" i="10" s="1"/>
  <c r="F30" i="18"/>
  <c r="F32" i="18"/>
  <c r="B27" i="10"/>
  <c r="E29" i="10" l="1"/>
  <c r="D29" i="10"/>
  <c r="D28" i="10"/>
  <c r="D27" i="10"/>
  <c r="C27" i="10"/>
  <c r="J35" i="2"/>
  <c r="I35" i="2"/>
  <c r="H35" i="2"/>
  <c r="H41" i="2"/>
  <c r="H34" i="19"/>
  <c r="I34" i="19"/>
  <c r="J34" i="19"/>
  <c r="G34" i="19"/>
  <c r="J156" i="2" l="1"/>
  <c r="I156" i="2"/>
  <c r="H156" i="2"/>
  <c r="G156" i="2"/>
  <c r="J155" i="2"/>
  <c r="I155" i="2"/>
  <c r="H155" i="2"/>
  <c r="G155" i="2"/>
  <c r="H154" i="2"/>
  <c r="I154" i="2"/>
  <c r="J154" i="2"/>
  <c r="G154" i="2"/>
  <c r="H152" i="2"/>
  <c r="I152" i="2"/>
  <c r="J152" i="2"/>
  <c r="G152" i="2"/>
  <c r="E54" i="2"/>
  <c r="H118" i="2"/>
  <c r="I118" i="2"/>
  <c r="J118" i="2"/>
  <c r="G118" i="2"/>
  <c r="G24" i="19" l="1"/>
  <c r="H24" i="19"/>
  <c r="I24" i="19"/>
  <c r="J24" i="19"/>
  <c r="E118" i="2"/>
  <c r="E39" i="2"/>
  <c r="E38" i="2"/>
  <c r="E156" i="2" l="1"/>
  <c r="E152" i="2"/>
  <c r="E155" i="2"/>
  <c r="E154" i="2"/>
  <c r="M155" i="2" s="1"/>
  <c r="C50" i="2"/>
  <c r="C53" i="2"/>
  <c r="C37" i="2"/>
  <c r="C46" i="2"/>
  <c r="F132" i="2"/>
  <c r="F133" i="2"/>
  <c r="F134" i="2"/>
  <c r="C41" i="2"/>
  <c r="C156" i="2" s="1"/>
  <c r="C152" i="2"/>
  <c r="D156" i="2"/>
  <c r="D154" i="2"/>
  <c r="L155" i="2" s="1"/>
  <c r="C155" i="2"/>
  <c r="C38" i="2"/>
  <c r="C154" i="2" s="1"/>
  <c r="K155" i="2" l="1"/>
  <c r="B14" i="20"/>
  <c r="C14" i="20"/>
  <c r="D15" i="20"/>
  <c r="E16" i="20"/>
  <c r="F16" i="20" s="1"/>
  <c r="H16" i="20"/>
  <c r="E17" i="20"/>
  <c r="H17" i="20" s="1"/>
  <c r="F17" i="20"/>
  <c r="E18" i="20"/>
  <c r="F18" i="20" s="1"/>
  <c r="D19" i="20"/>
  <c r="E19" i="20" s="1"/>
  <c r="H19" i="20" s="1"/>
  <c r="E20" i="20"/>
  <c r="F20" i="20" s="1"/>
  <c r="B22" i="20"/>
  <c r="D22" i="20"/>
  <c r="E22" i="20"/>
  <c r="F22" i="20" s="1"/>
  <c r="H22" i="20"/>
  <c r="B23" i="20"/>
  <c r="D23" i="20"/>
  <c r="E23" i="20"/>
  <c r="H23" i="20"/>
  <c r="C24" i="20"/>
  <c r="C21" i="20" s="1"/>
  <c r="C29" i="20" s="1"/>
  <c r="E24" i="20"/>
  <c r="B26" i="20"/>
  <c r="B28" i="20" s="1"/>
  <c r="C26" i="20"/>
  <c r="E26" i="20" s="1"/>
  <c r="B27" i="20"/>
  <c r="C27" i="20"/>
  <c r="D27" i="20" s="1"/>
  <c r="E27" i="20"/>
  <c r="F27" i="20" s="1"/>
  <c r="B30" i="20"/>
  <c r="C30" i="20"/>
  <c r="C31" i="20"/>
  <c r="D31" i="20"/>
  <c r="E31" i="20"/>
  <c r="C32" i="20"/>
  <c r="F33" i="20"/>
  <c r="H33" i="20"/>
  <c r="F34" i="20"/>
  <c r="H34" i="20"/>
  <c r="F35" i="20"/>
  <c r="H35" i="20"/>
  <c r="F36" i="20"/>
  <c r="H36" i="20"/>
  <c r="J46" i="20"/>
  <c r="K46" i="20"/>
  <c r="J47" i="20"/>
  <c r="K47" i="20"/>
  <c r="J48" i="20"/>
  <c r="K48" i="20"/>
  <c r="E49" i="20"/>
  <c r="G49" i="20"/>
  <c r="J49" i="20"/>
  <c r="K49" i="20"/>
  <c r="J50" i="20"/>
  <c r="K50" i="20"/>
  <c r="D54" i="20"/>
  <c r="B45" i="20" s="1"/>
  <c r="F54" i="20"/>
  <c r="C45" i="20" s="1"/>
  <c r="J54" i="20"/>
  <c r="G86" i="20"/>
  <c r="G87" i="20"/>
  <c r="G90" i="20" s="1"/>
  <c r="G88" i="20"/>
  <c r="G89" i="20"/>
  <c r="H98" i="20"/>
  <c r="H99" i="20"/>
  <c r="H100" i="20"/>
  <c r="H101" i="20"/>
  <c r="E110" i="20"/>
  <c r="J110" i="20"/>
  <c r="Y110" i="20" s="1"/>
  <c r="O110" i="20"/>
  <c r="T110" i="20"/>
  <c r="Z110" i="20"/>
  <c r="AA110" i="20"/>
  <c r="AB110" i="20"/>
  <c r="AC110" i="20"/>
  <c r="E111" i="20"/>
  <c r="J111" i="20"/>
  <c r="O111" i="20"/>
  <c r="T111" i="20"/>
  <c r="Z111" i="20"/>
  <c r="AA111" i="20"/>
  <c r="AB111" i="20"/>
  <c r="AC111" i="20"/>
  <c r="E112" i="20"/>
  <c r="J112" i="20"/>
  <c r="Y112" i="20" s="1"/>
  <c r="O112" i="20"/>
  <c r="T112" i="20"/>
  <c r="Z112" i="20"/>
  <c r="AA112" i="20"/>
  <c r="AB112" i="20"/>
  <c r="AC112" i="20"/>
  <c r="E113" i="20"/>
  <c r="J113" i="20"/>
  <c r="O113" i="20"/>
  <c r="T113" i="20"/>
  <c r="Z113" i="20"/>
  <c r="AA113" i="20"/>
  <c r="AB113" i="20"/>
  <c r="AC113" i="20"/>
  <c r="E114" i="20"/>
  <c r="O114" i="20"/>
  <c r="R114" i="20"/>
  <c r="T114" i="20"/>
  <c r="Z114" i="20"/>
  <c r="AA114" i="20"/>
  <c r="AB114" i="20"/>
  <c r="AC114" i="20"/>
  <c r="B11" i="10"/>
  <c r="C11" i="10"/>
  <c r="D11" i="10"/>
  <c r="E11" i="10"/>
  <c r="F12" i="10"/>
  <c r="H12" i="10"/>
  <c r="F13" i="10"/>
  <c r="H13" i="10"/>
  <c r="F14" i="10"/>
  <c r="H14" i="10"/>
  <c r="F15" i="10"/>
  <c r="H15" i="10"/>
  <c r="F16" i="10"/>
  <c r="H16" i="10"/>
  <c r="F17" i="10"/>
  <c r="H17" i="10"/>
  <c r="B18" i="10"/>
  <c r="B26" i="10" s="1"/>
  <c r="C18" i="10"/>
  <c r="C26" i="10" s="1"/>
  <c r="F19" i="10"/>
  <c r="H19" i="10"/>
  <c r="D18" i="10"/>
  <c r="D26" i="10" s="1"/>
  <c r="F26" i="10" s="1"/>
  <c r="E18" i="10"/>
  <c r="F20" i="10"/>
  <c r="H20" i="10"/>
  <c r="F21" i="10"/>
  <c r="H21" i="10"/>
  <c r="B22" i="10"/>
  <c r="C22" i="10"/>
  <c r="F23" i="10"/>
  <c r="H23" i="10"/>
  <c r="H24" i="10"/>
  <c r="D22" i="10"/>
  <c r="E22" i="10"/>
  <c r="H25" i="10"/>
  <c r="H26" i="10"/>
  <c r="E27" i="10"/>
  <c r="E28" i="10"/>
  <c r="F28" i="10" s="1"/>
  <c r="F29" i="10"/>
  <c r="C30" i="10"/>
  <c r="D30" i="10"/>
  <c r="E30" i="10"/>
  <c r="F30" i="10" s="1"/>
  <c r="F31" i="10"/>
  <c r="H31" i="10"/>
  <c r="F32" i="10"/>
  <c r="H32" i="10"/>
  <c r="F33" i="10"/>
  <c r="H33" i="10"/>
  <c r="D48" i="10"/>
  <c r="F48" i="10"/>
  <c r="H48" i="10"/>
  <c r="J48" i="10"/>
  <c r="D59" i="10"/>
  <c r="B42" i="10" s="1"/>
  <c r="F59" i="10"/>
  <c r="C57" i="10" s="1"/>
  <c r="H59" i="10"/>
  <c r="G91" i="10"/>
  <c r="G92" i="10"/>
  <c r="G93" i="10"/>
  <c r="G94" i="10"/>
  <c r="H103" i="10"/>
  <c r="H104" i="10"/>
  <c r="H105" i="10"/>
  <c r="H106" i="10"/>
  <c r="E116" i="10"/>
  <c r="O116" i="10"/>
  <c r="T116" i="10"/>
  <c r="Z116" i="10"/>
  <c r="AA116" i="10"/>
  <c r="AB116" i="10"/>
  <c r="AC116" i="10"/>
  <c r="E117" i="10"/>
  <c r="O117" i="10"/>
  <c r="T117" i="10"/>
  <c r="Z117" i="10"/>
  <c r="AA117" i="10"/>
  <c r="AB117" i="10"/>
  <c r="AC117" i="10"/>
  <c r="E118" i="10"/>
  <c r="O118" i="10"/>
  <c r="T118" i="10"/>
  <c r="Z118" i="10"/>
  <c r="AA118" i="10"/>
  <c r="AB118" i="10"/>
  <c r="AC118" i="10"/>
  <c r="E119" i="10"/>
  <c r="O119" i="10"/>
  <c r="T119" i="10"/>
  <c r="Z119" i="10"/>
  <c r="AA119" i="10"/>
  <c r="AB119" i="10"/>
  <c r="AC119" i="10"/>
  <c r="P120" i="10"/>
  <c r="Q120" i="10"/>
  <c r="R120" i="10"/>
  <c r="S120" i="10"/>
  <c r="U120" i="10"/>
  <c r="V120" i="10"/>
  <c r="W120" i="10"/>
  <c r="X120" i="10"/>
  <c r="F47" i="14"/>
  <c r="C47" i="14"/>
  <c r="D47" i="14"/>
  <c r="E47" i="14"/>
  <c r="G47" i="14"/>
  <c r="H47" i="14"/>
  <c r="I47" i="14"/>
  <c r="J47" i="14"/>
  <c r="C37" i="18"/>
  <c r="D37" i="18"/>
  <c r="E37" i="18"/>
  <c r="F37" i="18"/>
  <c r="G37" i="18"/>
  <c r="G42" i="14" s="1"/>
  <c r="H37" i="18"/>
  <c r="I37" i="18"/>
  <c r="I42" i="14" s="1"/>
  <c r="J37" i="18"/>
  <c r="C63" i="18"/>
  <c r="D63" i="18"/>
  <c r="D68" i="18" s="1"/>
  <c r="D67" i="18" s="1"/>
  <c r="D45" i="14" s="1"/>
  <c r="E63" i="18"/>
  <c r="F63" i="18"/>
  <c r="G63" i="18"/>
  <c r="H63" i="18"/>
  <c r="I63" i="18"/>
  <c r="I68" i="18" s="1"/>
  <c r="I67" i="18" s="1"/>
  <c r="I45" i="14" s="1"/>
  <c r="J63" i="18"/>
  <c r="F68" i="18"/>
  <c r="F67" i="18" s="1"/>
  <c r="F45" i="14" s="1"/>
  <c r="G68" i="18"/>
  <c r="G67" i="18" s="1"/>
  <c r="G45" i="14" s="1"/>
  <c r="H68" i="18"/>
  <c r="H67" i="18" s="1"/>
  <c r="H45" i="14" s="1"/>
  <c r="J68" i="18"/>
  <c r="J67" i="18" s="1"/>
  <c r="J45" i="14" s="1"/>
  <c r="C24" i="19"/>
  <c r="C35" i="19" s="1"/>
  <c r="C38" i="14" s="1"/>
  <c r="D24" i="19"/>
  <c r="D35" i="19" s="1"/>
  <c r="D38" i="14" s="1"/>
  <c r="E24" i="19"/>
  <c r="F28" i="19"/>
  <c r="F24" i="19" s="1"/>
  <c r="F34" i="19"/>
  <c r="E35" i="19"/>
  <c r="E38" i="14" s="1"/>
  <c r="G35" i="19"/>
  <c r="H35" i="19"/>
  <c r="H38" i="14" s="1"/>
  <c r="I35" i="19"/>
  <c r="I38" i="14" s="1"/>
  <c r="J35" i="19"/>
  <c r="J38" i="14" s="1"/>
  <c r="F11" i="2"/>
  <c r="C12" i="2"/>
  <c r="D12" i="2"/>
  <c r="E12" i="2"/>
  <c r="G12" i="2"/>
  <c r="H12" i="2"/>
  <c r="I12" i="2"/>
  <c r="J12" i="2"/>
  <c r="F13" i="2"/>
  <c r="C14" i="2"/>
  <c r="C10" i="2" s="1"/>
  <c r="C33" i="2" s="1"/>
  <c r="D14" i="2"/>
  <c r="E14" i="2"/>
  <c r="E10" i="2" s="1"/>
  <c r="E33" i="2" s="1"/>
  <c r="E16" i="14" s="1"/>
  <c r="G14" i="2"/>
  <c r="G10" i="2" s="1"/>
  <c r="G33" i="2" s="1"/>
  <c r="H14" i="2"/>
  <c r="I14" i="2"/>
  <c r="I10" i="2" s="1"/>
  <c r="I33" i="2" s="1"/>
  <c r="I16" i="14" s="1"/>
  <c r="J14" i="2"/>
  <c r="F15" i="2"/>
  <c r="C16" i="2"/>
  <c r="D16" i="2"/>
  <c r="E16" i="2"/>
  <c r="G16" i="2"/>
  <c r="H16" i="2"/>
  <c r="I16" i="2"/>
  <c r="J16" i="2"/>
  <c r="F17" i="2"/>
  <c r="F18" i="2"/>
  <c r="F19" i="2"/>
  <c r="F20" i="2"/>
  <c r="F21" i="2"/>
  <c r="F22" i="2"/>
  <c r="F23" i="2"/>
  <c r="F24" i="2"/>
  <c r="J43" i="10" s="1"/>
  <c r="F25" i="2"/>
  <c r="F26" i="2"/>
  <c r="F27" i="2"/>
  <c r="F28" i="2"/>
  <c r="F29" i="2"/>
  <c r="J58" i="10" s="1"/>
  <c r="F30" i="2"/>
  <c r="F31" i="2"/>
  <c r="F32" i="2"/>
  <c r="F35" i="2"/>
  <c r="F36" i="2"/>
  <c r="F37" i="2"/>
  <c r="F38" i="2"/>
  <c r="F39" i="2"/>
  <c r="F40" i="2"/>
  <c r="F41" i="2"/>
  <c r="C43" i="2"/>
  <c r="D43" i="2"/>
  <c r="E43" i="2"/>
  <c r="G43" i="2"/>
  <c r="H43" i="2"/>
  <c r="I43" i="2"/>
  <c r="J43" i="2"/>
  <c r="F45" i="2"/>
  <c r="F46" i="2"/>
  <c r="F47" i="2"/>
  <c r="C48" i="2"/>
  <c r="D48" i="2"/>
  <c r="E48" i="2"/>
  <c r="G48" i="2"/>
  <c r="H48" i="2"/>
  <c r="I48" i="2"/>
  <c r="J48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C77" i="2"/>
  <c r="C19" i="14" s="1"/>
  <c r="D77" i="2"/>
  <c r="E77" i="2"/>
  <c r="E19" i="14" s="1"/>
  <c r="G77" i="2"/>
  <c r="H77" i="2"/>
  <c r="H19" i="14" s="1"/>
  <c r="I77" i="2"/>
  <c r="J77" i="2"/>
  <c r="J19" i="14" s="1"/>
  <c r="F78" i="2"/>
  <c r="F79" i="2"/>
  <c r="F80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C104" i="2"/>
  <c r="D104" i="2"/>
  <c r="D103" i="2" s="1"/>
  <c r="D81" i="2" s="1"/>
  <c r="E104" i="2"/>
  <c r="E103" i="2" s="1"/>
  <c r="E81" i="2" s="1"/>
  <c r="E20" i="14" s="1"/>
  <c r="G104" i="2"/>
  <c r="G103" i="2" s="1"/>
  <c r="G81" i="2" s="1"/>
  <c r="G20" i="14" s="1"/>
  <c r="H104" i="2"/>
  <c r="H103" i="2" s="1"/>
  <c r="H81" i="2" s="1"/>
  <c r="H20" i="14" s="1"/>
  <c r="I104" i="2"/>
  <c r="I103" i="2" s="1"/>
  <c r="I81" i="2" s="1"/>
  <c r="I20" i="14" s="1"/>
  <c r="F106" i="2"/>
  <c r="J104" i="2"/>
  <c r="F108" i="2"/>
  <c r="F109" i="2"/>
  <c r="F110" i="2"/>
  <c r="F111" i="2"/>
  <c r="C112" i="2"/>
  <c r="D112" i="2"/>
  <c r="E112" i="2"/>
  <c r="E21" i="14" s="1"/>
  <c r="G112" i="2"/>
  <c r="G21" i="14" s="1"/>
  <c r="H112" i="2"/>
  <c r="I112" i="2"/>
  <c r="J112" i="2"/>
  <c r="F113" i="2"/>
  <c r="F114" i="2"/>
  <c r="F115" i="2"/>
  <c r="F116" i="2"/>
  <c r="F117" i="2"/>
  <c r="F118" i="2"/>
  <c r="F122" i="2"/>
  <c r="F123" i="2"/>
  <c r="F124" i="2"/>
  <c r="F125" i="2"/>
  <c r="C127" i="2"/>
  <c r="C126" i="2" s="1"/>
  <c r="C121" i="2" s="1"/>
  <c r="D127" i="2"/>
  <c r="D126" i="2" s="1"/>
  <c r="D121" i="2" s="1"/>
  <c r="D22" i="14" s="1"/>
  <c r="E127" i="2"/>
  <c r="E126" i="2" s="1"/>
  <c r="E121" i="2" s="1"/>
  <c r="E22" i="14" s="1"/>
  <c r="G127" i="2"/>
  <c r="G126" i="2" s="1"/>
  <c r="G121" i="2" s="1"/>
  <c r="G22" i="14" s="1"/>
  <c r="H127" i="2"/>
  <c r="H126" i="2" s="1"/>
  <c r="H121" i="2" s="1"/>
  <c r="H22" i="14" s="1"/>
  <c r="I127" i="2"/>
  <c r="I126" i="2" s="1"/>
  <c r="I121" i="2" s="1"/>
  <c r="J127" i="2"/>
  <c r="J126" i="2" s="1"/>
  <c r="J121" i="2" s="1"/>
  <c r="J22" i="14" s="1"/>
  <c r="F129" i="2"/>
  <c r="F130" i="2"/>
  <c r="F131" i="2"/>
  <c r="F135" i="2"/>
  <c r="F136" i="2"/>
  <c r="F137" i="2"/>
  <c r="F139" i="2"/>
  <c r="F140" i="2"/>
  <c r="F141" i="2"/>
  <c r="F142" i="2"/>
  <c r="D153" i="2"/>
  <c r="D151" i="2" s="1"/>
  <c r="G153" i="2"/>
  <c r="H153" i="2"/>
  <c r="I153" i="2"/>
  <c r="I151" i="2" s="1"/>
  <c r="F155" i="2"/>
  <c r="F156" i="2"/>
  <c r="B16" i="14"/>
  <c r="G16" i="14"/>
  <c r="B17" i="14"/>
  <c r="B18" i="14"/>
  <c r="B19" i="14"/>
  <c r="D19" i="14"/>
  <c r="G19" i="14"/>
  <c r="I19" i="14"/>
  <c r="B20" i="14"/>
  <c r="D20" i="14"/>
  <c r="B21" i="14"/>
  <c r="C21" i="14"/>
  <c r="D21" i="14"/>
  <c r="H21" i="14"/>
  <c r="I21" i="14"/>
  <c r="J21" i="14"/>
  <c r="B22" i="14"/>
  <c r="I22" i="14"/>
  <c r="B23" i="14"/>
  <c r="B24" i="14"/>
  <c r="C24" i="14"/>
  <c r="D24" i="14"/>
  <c r="E24" i="14"/>
  <c r="F24" i="14"/>
  <c r="G24" i="14"/>
  <c r="H24" i="14"/>
  <c r="I24" i="14"/>
  <c r="J24" i="14"/>
  <c r="B25" i="14"/>
  <c r="C25" i="14"/>
  <c r="D25" i="14"/>
  <c r="E25" i="14"/>
  <c r="F25" i="14"/>
  <c r="G25" i="14"/>
  <c r="H25" i="14"/>
  <c r="I25" i="14"/>
  <c r="J25" i="14"/>
  <c r="B26" i="14"/>
  <c r="C26" i="14"/>
  <c r="D26" i="14"/>
  <c r="E26" i="14"/>
  <c r="F26" i="14"/>
  <c r="G26" i="14"/>
  <c r="H26" i="14"/>
  <c r="I26" i="14"/>
  <c r="J26" i="14"/>
  <c r="B27" i="14"/>
  <c r="C27" i="14"/>
  <c r="D27" i="14"/>
  <c r="E27" i="14"/>
  <c r="F27" i="14"/>
  <c r="G27" i="14"/>
  <c r="H27" i="14"/>
  <c r="I27" i="14"/>
  <c r="J27" i="14"/>
  <c r="B28" i="14"/>
  <c r="B29" i="14"/>
  <c r="C29" i="14"/>
  <c r="D29" i="14"/>
  <c r="E29" i="14"/>
  <c r="F29" i="14"/>
  <c r="G29" i="14"/>
  <c r="H29" i="14"/>
  <c r="I29" i="14"/>
  <c r="J29" i="14"/>
  <c r="B30" i="14"/>
  <c r="B32" i="14"/>
  <c r="C32" i="14"/>
  <c r="D32" i="14"/>
  <c r="E32" i="14"/>
  <c r="F32" i="14"/>
  <c r="G32" i="14"/>
  <c r="H32" i="14"/>
  <c r="I32" i="14"/>
  <c r="J32" i="14"/>
  <c r="B33" i="14"/>
  <c r="C33" i="14"/>
  <c r="D33" i="14"/>
  <c r="E33" i="14"/>
  <c r="F33" i="14"/>
  <c r="G33" i="14"/>
  <c r="H33" i="14"/>
  <c r="I33" i="14"/>
  <c r="J33" i="14"/>
  <c r="B34" i="14"/>
  <c r="C34" i="14"/>
  <c r="D34" i="14"/>
  <c r="E34" i="14"/>
  <c r="F34" i="14"/>
  <c r="G34" i="14"/>
  <c r="H34" i="14"/>
  <c r="I34" i="14"/>
  <c r="J34" i="14"/>
  <c r="B35" i="14"/>
  <c r="C35" i="14"/>
  <c r="D35" i="14"/>
  <c r="E35" i="14"/>
  <c r="F35" i="14"/>
  <c r="G35" i="14"/>
  <c r="H35" i="14"/>
  <c r="I35" i="14"/>
  <c r="J35" i="14"/>
  <c r="B36" i="14"/>
  <c r="C36" i="14"/>
  <c r="E36" i="14"/>
  <c r="G36" i="14"/>
  <c r="H36" i="14"/>
  <c r="I36" i="14"/>
  <c r="J36" i="14"/>
  <c r="B37" i="14"/>
  <c r="C37" i="14"/>
  <c r="D37" i="14"/>
  <c r="E37" i="14"/>
  <c r="F37" i="14"/>
  <c r="G37" i="14"/>
  <c r="H37" i="14"/>
  <c r="I37" i="14"/>
  <c r="J37" i="14"/>
  <c r="B38" i="14"/>
  <c r="G38" i="14"/>
  <c r="B40" i="14"/>
  <c r="C40" i="14"/>
  <c r="D40" i="14"/>
  <c r="E40" i="14"/>
  <c r="F40" i="14"/>
  <c r="G40" i="14"/>
  <c r="H40" i="14"/>
  <c r="I40" i="14"/>
  <c r="J40" i="14"/>
  <c r="B41" i="14"/>
  <c r="C41" i="14"/>
  <c r="D41" i="14"/>
  <c r="E41" i="14"/>
  <c r="F41" i="14"/>
  <c r="G41" i="14"/>
  <c r="H41" i="14"/>
  <c r="I41" i="14"/>
  <c r="J41" i="14"/>
  <c r="B42" i="14"/>
  <c r="C42" i="14"/>
  <c r="D42" i="14"/>
  <c r="F42" i="14"/>
  <c r="H42" i="14"/>
  <c r="J42" i="14"/>
  <c r="B43" i="14"/>
  <c r="C43" i="14"/>
  <c r="D43" i="14"/>
  <c r="E43" i="14"/>
  <c r="F43" i="14"/>
  <c r="G43" i="14"/>
  <c r="H43" i="14"/>
  <c r="I43" i="14"/>
  <c r="J43" i="14"/>
  <c r="B44" i="14"/>
  <c r="C44" i="14"/>
  <c r="D44" i="14"/>
  <c r="E44" i="14"/>
  <c r="F44" i="14"/>
  <c r="G44" i="14"/>
  <c r="H44" i="14"/>
  <c r="I44" i="14"/>
  <c r="J44" i="14"/>
  <c r="B45" i="14"/>
  <c r="B47" i="14"/>
  <c r="J47" i="10" l="1"/>
  <c r="K15" i="2"/>
  <c r="H30" i="10"/>
  <c r="E30" i="20"/>
  <c r="H30" i="20" s="1"/>
  <c r="C28" i="20"/>
  <c r="F31" i="20"/>
  <c r="H28" i="10"/>
  <c r="AA120" i="10"/>
  <c r="G95" i="10"/>
  <c r="Y116" i="10"/>
  <c r="E68" i="18"/>
  <c r="E67" i="18" s="1"/>
  <c r="E45" i="14" s="1"/>
  <c r="C68" i="18"/>
  <c r="C67" i="18" s="1"/>
  <c r="C45" i="14" s="1"/>
  <c r="E42" i="14"/>
  <c r="C22" i="14"/>
  <c r="C48" i="10"/>
  <c r="Y111" i="20"/>
  <c r="B25" i="20"/>
  <c r="E21" i="20"/>
  <c r="B24" i="20"/>
  <c r="B21" i="20" s="1"/>
  <c r="H20" i="20"/>
  <c r="H18" i="20"/>
  <c r="F12" i="2"/>
  <c r="J42" i="10"/>
  <c r="J59" i="10" s="1"/>
  <c r="C42" i="10" s="1"/>
  <c r="AB120" i="10"/>
  <c r="Y118" i="10"/>
  <c r="O120" i="10"/>
  <c r="Y113" i="20"/>
  <c r="H102" i="20"/>
  <c r="H27" i="20"/>
  <c r="H26" i="20"/>
  <c r="C25" i="20"/>
  <c r="D14" i="20"/>
  <c r="C16" i="14"/>
  <c r="K33" i="2"/>
  <c r="AC120" i="10"/>
  <c r="E120" i="10"/>
  <c r="F25" i="10"/>
  <c r="F24" i="10"/>
  <c r="F27" i="10"/>
  <c r="F11" i="10"/>
  <c r="H11" i="10"/>
  <c r="D36" i="14"/>
  <c r="E153" i="2"/>
  <c r="E151" i="2" s="1"/>
  <c r="E158" i="2" s="1"/>
  <c r="C103" i="2"/>
  <c r="C81" i="2" s="1"/>
  <c r="C20" i="14" s="1"/>
  <c r="C153" i="2"/>
  <c r="C151" i="2" s="1"/>
  <c r="C158" i="2" s="1"/>
  <c r="F43" i="2"/>
  <c r="G151" i="2"/>
  <c r="G158" i="2" s="1"/>
  <c r="H151" i="2"/>
  <c r="H158" i="2" s="1"/>
  <c r="F36" i="14"/>
  <c r="F35" i="19"/>
  <c r="F38" i="14" s="1"/>
  <c r="J103" i="2"/>
  <c r="J81" i="2" s="1"/>
  <c r="J20" i="14" s="1"/>
  <c r="J153" i="2"/>
  <c r="F112" i="2"/>
  <c r="F21" i="14" s="1"/>
  <c r="F77" i="2"/>
  <c r="F14" i="2"/>
  <c r="F10" i="2" s="1"/>
  <c r="F33" i="2" s="1"/>
  <c r="T120" i="10"/>
  <c r="Y117" i="10"/>
  <c r="B57" i="10"/>
  <c r="B55" i="10"/>
  <c r="B53" i="10"/>
  <c r="B51" i="10"/>
  <c r="B49" i="10"/>
  <c r="B47" i="10"/>
  <c r="B45" i="10"/>
  <c r="B43" i="10"/>
  <c r="F22" i="10"/>
  <c r="H22" i="10"/>
  <c r="F18" i="10"/>
  <c r="H18" i="10"/>
  <c r="H24" i="20"/>
  <c r="B32" i="20"/>
  <c r="F154" i="2"/>
  <c r="F152" i="2"/>
  <c r="F127" i="2"/>
  <c r="F107" i="2"/>
  <c r="F104" i="2" s="1"/>
  <c r="F103" i="2" s="1"/>
  <c r="F81" i="2" s="1"/>
  <c r="F20" i="14" s="1"/>
  <c r="F16" i="2"/>
  <c r="J10" i="2"/>
  <c r="J33" i="2" s="1"/>
  <c r="H10" i="2"/>
  <c r="H33" i="2" s="1"/>
  <c r="H148" i="2" s="1"/>
  <c r="D10" i="2"/>
  <c r="D33" i="2" s="1"/>
  <c r="Z120" i="10"/>
  <c r="Y119" i="10"/>
  <c r="H107" i="10"/>
  <c r="B58" i="10"/>
  <c r="B56" i="10"/>
  <c r="B54" i="10"/>
  <c r="B52" i="10"/>
  <c r="B50" i="10"/>
  <c r="B48" i="10"/>
  <c r="B46" i="10"/>
  <c r="B44" i="10"/>
  <c r="H29" i="10"/>
  <c r="H27" i="10"/>
  <c r="C58" i="10"/>
  <c r="C56" i="10"/>
  <c r="C55" i="10"/>
  <c r="C54" i="10"/>
  <c r="C53" i="10"/>
  <c r="C52" i="10"/>
  <c r="C51" i="10"/>
  <c r="C50" i="10"/>
  <c r="C49" i="10"/>
  <c r="C47" i="10"/>
  <c r="C46" i="10"/>
  <c r="C45" i="10"/>
  <c r="C44" i="10"/>
  <c r="C43" i="10"/>
  <c r="J114" i="20"/>
  <c r="Y114" i="20" s="1"/>
  <c r="B53" i="20"/>
  <c r="B52" i="20"/>
  <c r="B51" i="20"/>
  <c r="B50" i="20"/>
  <c r="B49" i="20"/>
  <c r="B48" i="20"/>
  <c r="B47" i="20"/>
  <c r="B46" i="20"/>
  <c r="B31" i="20"/>
  <c r="H31" i="20" s="1"/>
  <c r="D30" i="20"/>
  <c r="F30" i="20" s="1"/>
  <c r="D26" i="20"/>
  <c r="D24" i="20"/>
  <c r="D32" i="20" s="1"/>
  <c r="F23" i="20"/>
  <c r="E15" i="20"/>
  <c r="C53" i="20"/>
  <c r="C52" i="20"/>
  <c r="C51" i="20"/>
  <c r="C50" i="20"/>
  <c r="C49" i="20"/>
  <c r="C48" i="20"/>
  <c r="C47" i="20"/>
  <c r="C46" i="20"/>
  <c r="F126" i="2"/>
  <c r="F121" i="2" s="1"/>
  <c r="F22" i="14" s="1"/>
  <c r="D158" i="2"/>
  <c r="F48" i="2"/>
  <c r="I42" i="2"/>
  <c r="I34" i="2" s="1"/>
  <c r="I149" i="2" s="1"/>
  <c r="G42" i="2"/>
  <c r="G34" i="2" s="1"/>
  <c r="G149" i="2" s="1"/>
  <c r="D42" i="2"/>
  <c r="D34" i="2" s="1"/>
  <c r="D17" i="14" s="1"/>
  <c r="I158" i="2"/>
  <c r="F157" i="2"/>
  <c r="J42" i="2"/>
  <c r="J34" i="2" s="1"/>
  <c r="J17" i="14" s="1"/>
  <c r="H42" i="2"/>
  <c r="H34" i="2" s="1"/>
  <c r="H17" i="14" s="1"/>
  <c r="E42" i="2"/>
  <c r="E34" i="2" s="1"/>
  <c r="E149" i="2" s="1"/>
  <c r="C42" i="2"/>
  <c r="C34" i="2" s="1"/>
  <c r="I17" i="14"/>
  <c r="E148" i="2"/>
  <c r="C148" i="2"/>
  <c r="M148" i="2" s="1"/>
  <c r="D148" i="2"/>
  <c r="D16" i="14"/>
  <c r="I148" i="2"/>
  <c r="G148" i="2"/>
  <c r="B29" i="20" l="1"/>
  <c r="H21" i="20"/>
  <c r="B54" i="20"/>
  <c r="N155" i="2"/>
  <c r="L154" i="2"/>
  <c r="D28" i="20"/>
  <c r="D25" i="20" s="1"/>
  <c r="E28" i="20"/>
  <c r="D149" i="2"/>
  <c r="D76" i="2"/>
  <c r="C76" i="2"/>
  <c r="K34" i="2"/>
  <c r="C54" i="20"/>
  <c r="B59" i="10"/>
  <c r="F42" i="2"/>
  <c r="F34" i="2" s="1"/>
  <c r="F149" i="2" s="1"/>
  <c r="H16" i="14"/>
  <c r="E76" i="2"/>
  <c r="E138" i="2" s="1"/>
  <c r="E17" i="14"/>
  <c r="G76" i="2"/>
  <c r="G138" i="2" s="1"/>
  <c r="G17" i="14"/>
  <c r="J76" i="2"/>
  <c r="J138" i="2" s="1"/>
  <c r="J151" i="2"/>
  <c r="J158" i="2" s="1"/>
  <c r="F153" i="2"/>
  <c r="F151" i="2" s="1"/>
  <c r="F158" i="2" s="1"/>
  <c r="I76" i="2"/>
  <c r="I138" i="2" s="1"/>
  <c r="J149" i="2"/>
  <c r="J148" i="2"/>
  <c r="J16" i="14"/>
  <c r="C17" i="14"/>
  <c r="C149" i="2"/>
  <c r="M149" i="2" s="1"/>
  <c r="C59" i="10"/>
  <c r="H149" i="2"/>
  <c r="H76" i="2"/>
  <c r="H138" i="2" s="1"/>
  <c r="F15" i="20"/>
  <c r="E14" i="20"/>
  <c r="H15" i="20"/>
  <c r="F26" i="20"/>
  <c r="F24" i="20"/>
  <c r="D21" i="20"/>
  <c r="Y120" i="10"/>
  <c r="I18" i="14"/>
  <c r="D138" i="2"/>
  <c r="D18" i="14"/>
  <c r="F148" i="2"/>
  <c r="F16" i="14"/>
  <c r="H18" i="14"/>
  <c r="F28" i="20" l="1"/>
  <c r="E25" i="20"/>
  <c r="H25" i="20" s="1"/>
  <c r="H28" i="20"/>
  <c r="C18" i="14"/>
  <c r="C138" i="2"/>
  <c r="C23" i="14" s="1"/>
  <c r="M121" i="10"/>
  <c r="K121" i="10"/>
  <c r="L121" i="10"/>
  <c r="J121" i="10"/>
  <c r="N121" i="10"/>
  <c r="F76" i="2"/>
  <c r="F138" i="2" s="1"/>
  <c r="F17" i="14"/>
  <c r="G18" i="14"/>
  <c r="E18" i="14"/>
  <c r="J18" i="14"/>
  <c r="G121" i="10"/>
  <c r="O121" i="10"/>
  <c r="Q121" i="10"/>
  <c r="S121" i="10"/>
  <c r="U121" i="10"/>
  <c r="W121" i="10"/>
  <c r="AB121" i="10"/>
  <c r="P121" i="10"/>
  <c r="R121" i="10"/>
  <c r="V121" i="10"/>
  <c r="X121" i="10"/>
  <c r="AC121" i="10"/>
  <c r="AA121" i="10"/>
  <c r="T121" i="10"/>
  <c r="Z121" i="10"/>
  <c r="F14" i="20"/>
  <c r="E32" i="20"/>
  <c r="H14" i="20"/>
  <c r="E29" i="20"/>
  <c r="D29" i="20"/>
  <c r="F21" i="20"/>
  <c r="E143" i="2"/>
  <c r="E23" i="14"/>
  <c r="J143" i="2"/>
  <c r="J23" i="14"/>
  <c r="D143" i="2"/>
  <c r="D23" i="14"/>
  <c r="I143" i="2"/>
  <c r="I23" i="14"/>
  <c r="G143" i="2"/>
  <c r="G23" i="14"/>
  <c r="H143" i="2"/>
  <c r="H23" i="14"/>
  <c r="F25" i="20" l="1"/>
  <c r="C143" i="2"/>
  <c r="C9" i="18" s="1"/>
  <c r="F18" i="14"/>
  <c r="H29" i="20"/>
  <c r="F29" i="20"/>
  <c r="H32" i="20"/>
  <c r="F32" i="20"/>
  <c r="H9" i="18"/>
  <c r="H146" i="2"/>
  <c r="H30" i="14" s="1"/>
  <c r="H28" i="14"/>
  <c r="G9" i="18"/>
  <c r="G146" i="2"/>
  <c r="G30" i="14" s="1"/>
  <c r="G28" i="14"/>
  <c r="I9" i="18"/>
  <c r="I146" i="2"/>
  <c r="I30" i="14" s="1"/>
  <c r="I28" i="14"/>
  <c r="D9" i="18"/>
  <c r="D146" i="2"/>
  <c r="D30" i="14" s="1"/>
  <c r="D28" i="14"/>
  <c r="J9" i="18"/>
  <c r="J146" i="2"/>
  <c r="J30" i="14" s="1"/>
  <c r="J28" i="14"/>
  <c r="E9" i="18"/>
  <c r="E146" i="2"/>
  <c r="E30" i="14" s="1"/>
  <c r="E28" i="14"/>
  <c r="F143" i="2"/>
  <c r="F23" i="14"/>
  <c r="C28" i="14" l="1"/>
  <c r="C146" i="2"/>
  <c r="C30" i="14" s="1"/>
  <c r="F9" i="18"/>
  <c r="F146" i="2"/>
  <c r="F30" i="14" s="1"/>
  <c r="F28" i="14"/>
</calcChain>
</file>

<file path=xl/comments1.xml><?xml version="1.0" encoding="utf-8"?>
<comments xmlns="http://schemas.openxmlformats.org/spreadsheetml/2006/main">
  <authors>
    <author>КДП_ПК9</author>
    <author>Александр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  <charset val="204"/>
          </rPr>
          <t>КДП_ПК9:</t>
        </r>
        <r>
          <rPr>
            <sz val="9"/>
            <color indexed="81"/>
            <rFont val="Tahoma"/>
            <family val="2"/>
            <charset val="204"/>
          </rPr>
          <t xml:space="preserve">
274,3 залишки мед субвенції
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274,3 залишки мед субвенції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C10" authorId="0" shapeId="0">
      <text>
        <r>
          <rPr>
            <b/>
            <sz val="9"/>
            <color indexed="81"/>
            <rFont val="Tahoma"/>
            <charset val="1"/>
          </rPr>
          <t>=4090 4-ДС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КДП_ПК9</author>
  </authors>
  <commentList>
    <comment ref="M24" authorId="0" shapeId="0">
      <text>
        <r>
          <rPr>
            <b/>
            <sz val="9"/>
            <color indexed="81"/>
            <rFont val="Tahoma"/>
            <family val="2"/>
            <charset val="204"/>
          </rPr>
          <t>КДП_ПК9: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<sst xmlns="http://schemas.openxmlformats.org/spreadsheetml/2006/main" count="781" uniqueCount="422">
  <si>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</si>
  <si>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</si>
  <si>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</si>
  <si>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</si>
  <si>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</si>
  <si>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</si>
  <si>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</si>
  <si>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</si>
  <si>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</si>
  <si>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Плановий рік (усього)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</si>
  <si>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</si>
  <si>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</si>
  <si>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</si>
  <si>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</si>
  <si>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</si>
  <si>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</si>
  <si>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</si>
  <si>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</si>
  <si>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</si>
  <si>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</si>
  <si>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</si>
  <si>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</si>
  <si>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</si>
  <si>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</si>
  <si>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</si>
  <si>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</si>
  <si>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</si>
  <si>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</si>
  <si>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</si>
  <si>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</si>
  <si>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</si>
  <si>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</si>
  <si>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</si>
  <si>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</si>
  <si>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</si>
  <si>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</si>
  <si>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</si>
  <si>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</si>
  <si>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</si>
  <si>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</si>
  <si>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</si>
  <si>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</si>
  <si>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</si>
  <si>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</si>
  <si>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</si>
  <si>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</si>
  <si>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</si>
  <si>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</si>
  <si>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</si>
  <si>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</si>
  <si>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</si>
  <si>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</si>
  <si>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</si>
  <si>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</si>
  <si>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</si>
  <si>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</si>
  <si>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</si>
  <si>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</si>
  <si>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</si>
  <si>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</si>
  <si>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</si>
  <si>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</si>
  <si>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>за минулий рік</t>
  </si>
  <si>
    <t>за плановий рік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</si>
  <si>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</si>
  <si>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</si>
  <si>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</si>
  <si>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</si>
  <si>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</si>
  <si>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</si>
  <si>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</si>
  <si>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</si>
  <si>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</si>
  <si>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</si>
  <si>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</si>
  <si>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</si>
  <si>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</si>
  <si>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Заборгованість за кредитами на кінець ______ року</t>
  </si>
  <si>
    <t>Бюджетне фінансування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</si>
  <si>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</si>
  <si>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</si>
  <si>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</si>
  <si>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</si>
  <si>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</si>
  <si>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</si>
  <si>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</si>
  <si>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</si>
  <si>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І. Формування фінансових результатів</t>
  </si>
  <si>
    <t>плата за користування надрами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</si>
  <si>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</si>
  <si>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</si>
  <si>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</si>
  <si>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</si>
  <si>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</si>
  <si>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</si>
  <si>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</si>
  <si>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</si>
  <si>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</si>
  <si>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</si>
  <si>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Інші витрати (розшифрувати)</t>
  </si>
  <si>
    <t>Інші фонди (розшифрувати)</t>
  </si>
  <si>
    <t>Усього витрат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</si>
  <si>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</si>
  <si>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</si>
  <si>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</si>
  <si>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</si>
  <si>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</si>
  <si>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</si>
  <si>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</si>
  <si>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</si>
  <si>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</si>
  <si>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</si>
  <si>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</si>
  <si>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</si>
  <si>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</si>
  <si>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</si>
  <si>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</si>
  <si>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</si>
  <si>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</si>
  <si>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</si>
  <si>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</si>
  <si>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</si>
  <si>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</si>
  <si>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</si>
  <si>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</si>
  <si>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</si>
  <si>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</si>
  <si>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</si>
  <si>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</si>
  <si>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</si>
  <si>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</si>
  <si>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</si>
  <si>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</si>
  <si>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</si>
  <si>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</si>
  <si>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</si>
  <si>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</si>
  <si>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</si>
  <si>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</si>
  <si>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</si>
  <si>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</si>
  <si>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</si>
  <si>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</si>
  <si>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</si>
  <si>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</si>
  <si>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 xml:space="preserve">Прибуток (збиток) від звичайної діяльності до оподаткування </t>
  </si>
  <si>
    <t>Коригування на: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</si>
  <si>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</si>
  <si>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</si>
  <si>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</si>
  <si>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</si>
  <si>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</si>
  <si>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</si>
  <si>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</si>
  <si>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</si>
  <si>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</si>
  <si>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</si>
  <si>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</si>
  <si>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</si>
  <si>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</si>
  <si>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</si>
  <si>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</si>
  <si>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</si>
  <si>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</si>
  <si>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</si>
  <si>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</si>
  <si>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</si>
  <si>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</si>
  <si>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</si>
  <si>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</si>
  <si>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</si>
  <si>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</si>
  <si>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</si>
  <si>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</si>
  <si>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</si>
  <si>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</si>
  <si>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</si>
  <si>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Інші операційні доходи (розшифрувати), у тому числі:</t>
  </si>
  <si>
    <t>курсові різниці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</si>
  <si>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</si>
  <si>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</si>
  <si>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</si>
  <si>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</si>
  <si>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</si>
  <si>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</si>
  <si>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</si>
  <si>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</si>
  <si>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</si>
  <si>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</si>
  <si>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</si>
  <si>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</si>
  <si>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_________________________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</si>
  <si>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</si>
  <si>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</si>
  <si>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</si>
  <si>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</si>
  <si>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</si>
  <si>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</si>
  <si>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</si>
  <si>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</si>
  <si>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</si>
  <si>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</si>
  <si>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</si>
  <si>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</si>
  <si>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</si>
  <si>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</si>
  <si>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</si>
  <si>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</si>
  <si>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</si>
  <si>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</si>
  <si>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</si>
  <si>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</si>
  <si>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</si>
  <si>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</si>
  <si>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</si>
  <si>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</si>
  <si>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</si>
  <si>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</si>
  <si>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</si>
  <si>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</si>
  <si>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</si>
  <si>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</si>
  <si>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</si>
  <si>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</si>
  <si>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</si>
  <si>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</si>
  <si>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</si>
  <si>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</si>
  <si>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</si>
  <si>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</si>
  <si>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</si>
  <si>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 xml:space="preserve">      Загальна інформація про підприємство (резюме)</t>
  </si>
  <si>
    <t>Мета використання</t>
  </si>
  <si>
    <t>План з повернення коштів</t>
  </si>
  <si>
    <t>План із залучення коштів</t>
  </si>
  <si>
    <t xml:space="preserve">Доходи 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</si>
  <si>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</si>
  <si>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</si>
  <si>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</si>
  <si>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</si>
  <si>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</si>
  <si>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</si>
  <si>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</si>
  <si>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</si>
  <si>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7. Джерела капітальних інвестицій</t>
  </si>
  <si>
    <t xml:space="preserve">Плановий рік </t>
  </si>
  <si>
    <t>Сума, валюта за договорами</t>
  </si>
  <si>
    <t>Заборгованість за кредитами на початок _______року</t>
  </si>
  <si>
    <t>у тому числі за їх видами</t>
  </si>
  <si>
    <t xml:space="preserve">I </t>
  </si>
  <si>
    <t>II</t>
  </si>
  <si>
    <t>III</t>
  </si>
  <si>
    <t>IV</t>
  </si>
  <si>
    <t>I</t>
  </si>
  <si>
    <t>ФІНАНСОВИЙ ПЛАН КОМУНАЛЬНОГО ПІДПРИЄМСТВА</t>
  </si>
  <si>
    <t>Інші операційні доходи</t>
  </si>
  <si>
    <t>Інші доходи</t>
  </si>
  <si>
    <t>Інші витрати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</si>
  <si>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</si>
  <si>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</si>
  <si>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</si>
  <si>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</si>
  <si>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</si>
  <si>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</si>
  <si>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 xml:space="preserve">      2. Інформація про бізнес підприємства (код рядка 1040 "чистий дохід від реалізації продукції ( товарів, робіт, послуг)" фінансового плану)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</si>
  <si>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</si>
  <si>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 xml:space="preserve">       6. Витрати на оренду службових автомобілів (у складі адміністративних витрат, рядок 1082)</t>
  </si>
  <si>
    <t>Доходи від фінансової діяльності</t>
  </si>
  <si>
    <t>Витрати від фінансової діяльності</t>
  </si>
  <si>
    <t xml:space="preserve">      8.  Капітальне будівництво (рядок 4010 таблиці 4)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</si>
  <si>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</si>
  <si>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</si>
  <si>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освоєння капітальних вкладень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</si>
  <si>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</si>
  <si>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</si>
  <si>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</si>
  <si>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</si>
  <si>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</si>
  <si>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фінансування капітальних інвестицій (оплата грошовими коштами), усього</t>
  </si>
  <si>
    <t>власні кошти</t>
  </si>
  <si>
    <t>кредитні кошти</t>
  </si>
  <si>
    <t>інші джерела (зазначити джерело)</t>
  </si>
  <si>
    <t>у тому числі</t>
  </si>
  <si>
    <t>тис.грн. (без ПДВ)</t>
  </si>
  <si>
    <t>Прогноз на поточний рік</t>
  </si>
  <si>
    <t xml:space="preserve">Зокрема за кварталами </t>
  </si>
  <si>
    <t>Плановий рік до прогнозу на поточний рік, %</t>
  </si>
  <si>
    <t>Фактичний показник поточного року за останній звітний період</t>
  </si>
  <si>
    <t>Фінансовий план поточного року</t>
  </si>
  <si>
    <t>План поточного року</t>
  </si>
  <si>
    <t>Плановий рік до факту минулого року, %</t>
  </si>
  <si>
    <t>Грошові кошти від операційної діяльності (розшифрувати)</t>
  </si>
  <si>
    <t>від надання платних послуг</t>
  </si>
  <si>
    <t>місцеві податки та збори (розшифрувати)(податок на землю та воду)</t>
  </si>
  <si>
    <t>інші платежі (розшифрувати)податок за метали</t>
  </si>
  <si>
    <t>Інші доходи (розшифрувати), у тому числі:бюджет розвитку</t>
  </si>
  <si>
    <t xml:space="preserve">Інші цілі (розшифрувати) Зміни </t>
  </si>
  <si>
    <t>Інші витрати (розшифрувати), у тому числі: (податки)</t>
  </si>
  <si>
    <t>комунальні послуги:</t>
  </si>
  <si>
    <t>в тому числі:</t>
  </si>
  <si>
    <t>опалення та гаряча вода</t>
  </si>
  <si>
    <t>водопостачання та водовідведення</t>
  </si>
  <si>
    <t>1058/1</t>
  </si>
  <si>
    <t>1058/2</t>
  </si>
  <si>
    <t>1058/11</t>
  </si>
  <si>
    <t>1058/12</t>
  </si>
  <si>
    <t>електроенергія</t>
  </si>
  <si>
    <t>медична субвенція з державного бюджету на здійснення переданих видатків у сфері охорони здоров'я (централізовані заходи з лікування хворих на цукровий та нецукровий діабет)</t>
  </si>
  <si>
    <t>субвенція з державного бюджету на відшкодування вартості лікарських засобів для лікування окремих захворювань</t>
  </si>
  <si>
    <t>субвенція з обласного бюджету на виконання обласної програми надання медичної допомоги хворим нефрологічного профілю</t>
  </si>
  <si>
    <t>субвенція з обласного бюджету на виконання обласної програми забезпечення трансплантованих хворих</t>
  </si>
  <si>
    <t>надходження від місцевого бюджету (крім надходжень на покриття вартості комунальних послуг та енергоносіїв, міських цільових програм)</t>
  </si>
  <si>
    <t>1011/1</t>
  </si>
  <si>
    <t>1012/1</t>
  </si>
  <si>
    <t>1012/2</t>
  </si>
  <si>
    <t>1012/3</t>
  </si>
  <si>
    <t>1012/4</t>
  </si>
  <si>
    <t>1012/5</t>
  </si>
  <si>
    <t>4050/1</t>
  </si>
  <si>
    <t>надання медичної допомоги за рахунок коштів від державного бюджету по договору з НСЗУ</t>
  </si>
  <si>
    <t>надання медичної допомоги за рахунок коштів від медичної субвенції з державного бюджету на здійснення переданих видатків у сфері охорони здоров'я (централізовані заходи з лікування хворих на цукровий та нецукровий діабет)</t>
  </si>
  <si>
    <t>надання медичної допомоги за рахунок коштів від субвенції з державного бюджету на відшкодування вартості лікарських засобів для лікування окремих захворювань</t>
  </si>
  <si>
    <t>надання медичної допомоги за рахунок коштів від місцевого бюджету на покриття вартості комунальних послуг та енергоносіїв надавача ПМД</t>
  </si>
  <si>
    <t>надання медичної допомоги за рахунок коштів від субвенції з обласного бюджету на виконання обласної програми надання медичної допомоги хворим нефрологічного профілю</t>
  </si>
  <si>
    <t>надання медичної допомоги за рахунок коштів від субвенції з обласного бюджету на виконання обласної програми забезпечення трансплантованих хворих</t>
  </si>
  <si>
    <t>надання медичної допомоги за рахунок коштів від місцевого бюджету (крім надходжень на покриття вартості комунальних послуг та енергоносіїв, міських цільових програм)</t>
  </si>
  <si>
    <t>надання платних послуг</t>
  </si>
  <si>
    <r>
      <t>Фактичний показник за _</t>
    </r>
    <r>
      <rPr>
        <u/>
        <sz val="14"/>
        <rFont val="Times New Roman"/>
        <family val="1"/>
        <charset val="204"/>
      </rPr>
      <t>2 півріччя 2017 року</t>
    </r>
    <r>
      <rPr>
        <sz val="14"/>
        <rFont val="Times New Roman"/>
        <family val="1"/>
        <charset val="204"/>
      </rPr>
      <t>_ (минулий рік)</t>
    </r>
  </si>
  <si>
    <r>
      <t>Плановий _</t>
    </r>
    <r>
      <rPr>
        <u/>
        <sz val="14"/>
        <rFont val="Times New Roman"/>
        <family val="1"/>
        <charset val="204"/>
      </rPr>
      <t>2 півріччя 2018</t>
    </r>
    <r>
      <rPr>
        <sz val="14"/>
        <rFont val="Times New Roman"/>
        <family val="1"/>
        <charset val="204"/>
      </rPr>
      <t>_року</t>
    </r>
  </si>
  <si>
    <r>
      <t>Плановий показник поточного                _</t>
    </r>
    <r>
      <rPr>
        <u/>
        <sz val="14"/>
        <rFont val="Times New Roman"/>
        <family val="1"/>
        <charset val="204"/>
      </rPr>
      <t>2 півріччя 2018</t>
    </r>
    <r>
      <rPr>
        <sz val="14"/>
        <rFont val="Times New Roman"/>
        <family val="1"/>
        <charset val="204"/>
      </rPr>
      <t>_ року</t>
    </r>
  </si>
  <si>
    <t>1102/1</t>
  </si>
  <si>
    <t>1102/11</t>
  </si>
  <si>
    <t>1102/12</t>
  </si>
  <si>
    <t>1102/13</t>
  </si>
  <si>
    <t>1125/1</t>
  </si>
  <si>
    <t>1125/11</t>
  </si>
  <si>
    <t>1125/12</t>
  </si>
  <si>
    <t>1125/13</t>
  </si>
  <si>
    <t>1125/2</t>
  </si>
  <si>
    <t>1125/3</t>
  </si>
  <si>
    <t>1125/4</t>
  </si>
  <si>
    <t>1125/5</t>
  </si>
  <si>
    <r>
      <t>до фінансового плану на _</t>
    </r>
    <r>
      <rPr>
        <b/>
        <u/>
        <sz val="14"/>
        <rFont val="Times New Roman"/>
        <family val="1"/>
        <charset val="204"/>
      </rPr>
      <t>2 півріччя 2018</t>
    </r>
    <r>
      <rPr>
        <b/>
        <sz val="14"/>
        <rFont val="Times New Roman"/>
        <family val="1"/>
        <charset val="204"/>
      </rPr>
      <t>_ року</t>
    </r>
  </si>
  <si>
    <t>В. М. Коротун</t>
  </si>
  <si>
    <r>
      <t>___</t>
    </r>
    <r>
      <rPr>
        <u/>
        <sz val="14"/>
        <rFont val="Times New Roman"/>
        <family val="1"/>
        <charset val="204"/>
      </rPr>
      <t>КНП "Перший  Черкаський міський центр первинної медико-санітарної допомоги"</t>
    </r>
    <r>
      <rPr>
        <sz val="14"/>
        <rFont val="Times New Roman"/>
        <family val="1"/>
        <charset val="204"/>
      </rPr>
      <t>___</t>
    </r>
  </si>
  <si>
    <r>
      <t xml:space="preserve">Керівник </t>
    </r>
    <r>
      <rPr>
        <u/>
        <sz val="14"/>
        <rFont val="Times New Roman"/>
        <family val="1"/>
        <charset val="204"/>
      </rPr>
      <t xml:space="preserve"> </t>
    </r>
  </si>
  <si>
    <t xml:space="preserve"> </t>
  </si>
  <si>
    <t>надання медичної допомоги за рахунок коштів від міського бюджету на міські цільові програми (забезпечення інвалідів та дітей-інвалідів технічними засобами., забезпечення хворих на муковісцидоз)</t>
  </si>
  <si>
    <t>кількість продукції/             наданих послуг, одиниця виміру (осіб)</t>
  </si>
  <si>
    <t>медична субвенція</t>
  </si>
  <si>
    <t>1012/6</t>
  </si>
  <si>
    <t>1012/7</t>
  </si>
  <si>
    <t>1012/8</t>
  </si>
  <si>
    <t xml:space="preserve">                                (посада)</t>
  </si>
  <si>
    <t>дохід від оренди</t>
  </si>
  <si>
    <t>одержані гранти і дарунки, спонсорська і благодійна допомога</t>
  </si>
  <si>
    <t>дохід від реалізації майна та іншої господарської діяльності</t>
  </si>
  <si>
    <t>витрати на зв’язок та інтернет-послуги</t>
  </si>
  <si>
    <t>послуги з автомобільних перевезень</t>
  </si>
  <si>
    <t>послуги з прання і сухого чищення</t>
  </si>
  <si>
    <t>послуги з технічних випробувань, аналізу та консультування</t>
  </si>
  <si>
    <t>послуги з ремонту і технічного обслуговування медичного і високоточного обладнання</t>
  </si>
  <si>
    <t>послуги з ремонту і технічного обслуговування техніки</t>
  </si>
  <si>
    <t>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</si>
  <si>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послуги у сфері розслідувань та охорони</t>
  </si>
  <si>
    <t>послуги пожежних і рятувальних служб</t>
  </si>
  <si>
    <t>технічне обслуговування ліфтів</t>
  </si>
  <si>
    <t>утилізація сміття та поводження зі сміттям</t>
  </si>
  <si>
    <t xml:space="preserve">міські цільові програми </t>
  </si>
  <si>
    <t>надходження на покриття вартості комунальних послуг та енергоносіїв</t>
  </si>
  <si>
    <t>договір НСЗУ</t>
  </si>
  <si>
    <t xml:space="preserve">витрати на сировину та основні матеріали </t>
  </si>
  <si>
    <t>комунальні послуги (адміністративні):</t>
  </si>
  <si>
    <t>комунальні послуги :</t>
  </si>
  <si>
    <t>Капітальний ремонт</t>
  </si>
  <si>
    <t>Реконструкція</t>
  </si>
  <si>
    <t>4050/2</t>
  </si>
  <si>
    <r>
      <t>кількість продукції/             наданих послуг, одиниця виміру (</t>
    </r>
    <r>
      <rPr>
        <sz val="14"/>
        <color indexed="12"/>
        <rFont val="Times New Roman"/>
        <family val="1"/>
        <charset val="204"/>
      </rPr>
      <t>осіб, ліжко-днів, відвідувань</t>
    </r>
    <r>
      <rPr>
        <sz val="14"/>
        <rFont val="Times New Roman"/>
        <family val="1"/>
        <charset val="204"/>
      </rPr>
      <t>)</t>
    </r>
  </si>
  <si>
    <t xml:space="preserve">надання медичної допомоги за рахунок коштів від медичної субвенції </t>
  </si>
  <si>
    <t>надання медичної допомоги за рахунок коштів від місцевого бюджету на покриття вартості комунальних послуг та енергоносіїв</t>
  </si>
  <si>
    <t>надання медичної допомоги за рахунок коштів від міського бюджету на міські цільові програми</t>
  </si>
  <si>
    <t xml:space="preserve">Міська Програма забезпечення туберкулінодіагностикою дитячого населення міста Черкаси </t>
  </si>
  <si>
    <t>Міська Програма забезпечення лікувальним харчуванням тяжкохворих та дітей, хворих на фенілкетонурію віком від 3 до 18 років</t>
  </si>
  <si>
    <t xml:space="preserve">Міська Програма забезпечення ефективним лікуванням дітей, хворих на ЮРА, цистиноз, двобічну нейросенсорну глухоту та хворих на муковісцидоз </t>
  </si>
  <si>
    <t>Міська Програма "Репродуктивне здоров’я "</t>
  </si>
  <si>
    <t>Міська Програма забезпечення осіб з інвалідністю та дітей з інвалідністю технічними засобами</t>
  </si>
  <si>
    <t>Міська Програма забезпечення техногенної та пожежної безпеки на території м. Черкаси, захисту населення від надзвичайних ситуацій техногенного, природного, соціального, воєнного характеру</t>
  </si>
  <si>
    <t>Міська Програма "Розвиток паліативної допомоги"</t>
  </si>
  <si>
    <t>1012/21</t>
  </si>
  <si>
    <t>1012/22</t>
  </si>
  <si>
    <t>1012/23</t>
  </si>
  <si>
    <t>1012/24</t>
  </si>
  <si>
    <t>1012/25</t>
  </si>
  <si>
    <t>1012/26</t>
  </si>
  <si>
    <t>1012/27</t>
  </si>
  <si>
    <t>Бюджетне фінансування (бюджет розвитку)</t>
  </si>
  <si>
    <t>послуги сторонніх організацій</t>
  </si>
  <si>
    <t>1102/2</t>
  </si>
  <si>
    <t>1102/3</t>
  </si>
  <si>
    <t>1102/4</t>
  </si>
  <si>
    <t>відшкодування пільгових пенсій при достроковому виході на пенсію</t>
  </si>
  <si>
    <t>оплата послуг (крім комунальних)</t>
  </si>
  <si>
    <t>предмети, матеріали, обладнання та інвентар</t>
  </si>
  <si>
    <t>придбання обладнання і предметів довгострокового користування</t>
  </si>
  <si>
    <t>1125/6</t>
  </si>
  <si>
    <t>1125/</t>
  </si>
  <si>
    <t xml:space="preserve">інші поточні видатки </t>
  </si>
  <si>
    <t>1058/3</t>
  </si>
  <si>
    <t>КНП "Черкаська міська консультативно-діагностична поліклініка"</t>
  </si>
  <si>
    <t>Придбання обладнання і предметів довгострокового користування</t>
  </si>
  <si>
    <t>заправка картриджів</t>
  </si>
  <si>
    <t>закупівля МШП</t>
  </si>
  <si>
    <r>
      <t xml:space="preserve">Директор </t>
    </r>
    <r>
      <rPr>
        <sz val="14"/>
        <rFont val="Times New Roman"/>
        <family val="1"/>
        <charset val="204"/>
      </rPr>
      <t>_____________________________________</t>
    </r>
  </si>
  <si>
    <t>_____________В.І. Свириденко_________________________</t>
  </si>
  <si>
    <t/>
  </si>
  <si>
    <r>
      <t xml:space="preserve">Директор </t>
    </r>
    <r>
      <rPr>
        <sz val="18"/>
        <rFont val="Times New Roman"/>
        <family val="1"/>
        <charset val="204"/>
      </rPr>
      <t>____________</t>
    </r>
  </si>
  <si>
    <t>_________В.І. Свириденко</t>
  </si>
  <si>
    <t>до фінансового плану на 2020 рік</t>
  </si>
  <si>
    <r>
      <t xml:space="preserve">Фактичний показник за </t>
    </r>
    <r>
      <rPr>
        <u/>
        <sz val="14"/>
        <color indexed="12"/>
        <rFont val="Times New Roman"/>
        <family val="1"/>
        <charset val="204"/>
      </rPr>
      <t>2018</t>
    </r>
    <r>
      <rPr>
        <sz val="14"/>
        <rFont val="Times New Roman"/>
        <family val="1"/>
        <charset val="204"/>
      </rPr>
      <t xml:space="preserve"> рік (минулий рік)</t>
    </r>
  </si>
  <si>
    <r>
      <t xml:space="preserve">Плановий показник поточного </t>
    </r>
    <r>
      <rPr>
        <u/>
        <sz val="14"/>
        <color indexed="12"/>
        <rFont val="Times New Roman"/>
        <family val="1"/>
        <charset val="204"/>
      </rPr>
      <t>2019</t>
    </r>
    <r>
      <rPr>
        <sz val="14"/>
        <rFont val="Times New Roman"/>
        <family val="1"/>
        <charset val="204"/>
      </rPr>
      <t xml:space="preserve"> року</t>
    </r>
  </si>
  <si>
    <r>
      <t>Плановий</t>
    </r>
    <r>
      <rPr>
        <u/>
        <sz val="14"/>
        <color indexed="12"/>
        <rFont val="Times New Roman"/>
        <family val="1"/>
        <charset val="204"/>
      </rPr>
      <t xml:space="preserve">_2020 </t>
    </r>
    <r>
      <rPr>
        <sz val="14"/>
        <rFont val="Times New Roman"/>
        <family val="1"/>
        <charset val="204"/>
      </rPr>
      <t>року</t>
    </r>
  </si>
  <si>
    <t>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</si>
</sst>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г_р_н_._-;\-* #,##0.00\ _г_р_н_._-;_-* &quot;-&quot;??\ _г_р_н_.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dd\.mm\.yyyy;@"/>
    <numFmt numFmtId="179" formatCode="#,##0.0000"/>
    <numFmt numFmtId="180" formatCode="#,##0.000"/>
  </numFmts>
  <fonts count="9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9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6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69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72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2" borderId="7">
      <alignment horizontal="left" vertical="center"/>
      <protection locked="0"/>
    </xf>
    <xf numFmtId="49" fontId="36" fillId="22" borderId="7">
      <alignment horizontal="left" vertical="center"/>
    </xf>
    <xf numFmtId="4" fontId="36" fillId="22" borderId="7">
      <alignment horizontal="right" vertical="center"/>
      <protection locked="0"/>
    </xf>
    <xf numFmtId="4" fontId="36" fillId="22" borderId="7">
      <alignment horizontal="right" vertical="center"/>
    </xf>
    <xf numFmtId="4" fontId="37" fillId="22" borderId="7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3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3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20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0" fontId="50" fillId="20" borderId="10" applyNumberFormat="0" applyAlignment="0" applyProtection="0"/>
    <xf numFmtId="0" fontId="16" fillId="20" borderId="10" applyNumberFormat="0" applyAlignment="0" applyProtection="0"/>
    <xf numFmtId="0" fontId="51" fillId="20" borderId="1" applyNumberFormat="0" applyAlignment="0" applyProtection="0"/>
    <xf numFmtId="0" fontId="17" fillId="20" borderId="1" applyNumberFormat="0" applyAlignment="0" applyProtection="0"/>
    <xf numFmtId="167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64" fillId="0" borderId="0" applyFont="0" applyFill="0" applyBorder="0" applyAlignment="0" applyProtection="0"/>
    <xf numFmtId="175" fontId="6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177" fontId="66" fillId="22" borderId="12" applyFill="0" applyBorder="0">
      <alignment horizontal="center" vertical="center" wrapText="1"/>
      <protection locked="0"/>
    </xf>
    <xf numFmtId="172" fontId="67" fillId="0" borderId="0">
      <alignment wrapText="1"/>
    </xf>
    <xf numFmtId="172" fontId="34" fillId="0" borderId="0">
      <alignment wrapText="1"/>
    </xf>
  </cellStyleXfs>
  <cellXfs count="524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0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248" applyFont="1" applyFill="1" applyBorder="1" applyAlignment="1">
      <alignment horizontal="center" vertical="center" wrapText="1"/>
    </xf>
    <xf numFmtId="0" fontId="5" fillId="0" borderId="0" xfId="248" applyFont="1" applyFill="1" applyBorder="1" applyAlignment="1">
      <alignment vertical="center"/>
    </xf>
    <xf numFmtId="0" fontId="5" fillId="0" borderId="3" xfId="248" applyFont="1" applyFill="1" applyBorder="1" applyAlignment="1">
      <alignment horizontal="left" vertical="center" wrapText="1"/>
    </xf>
    <xf numFmtId="0" fontId="4" fillId="0" borderId="0" xfId="248" applyFont="1" applyFill="1" applyBorder="1" applyAlignment="1">
      <alignment vertical="center"/>
    </xf>
    <xf numFmtId="0" fontId="5" fillId="0" borderId="0" xfId="248" applyFont="1" applyFill="1" applyBorder="1" applyAlignment="1">
      <alignment horizontal="center" vertical="center"/>
    </xf>
    <xf numFmtId="0" fontId="4" fillId="0" borderId="0" xfId="2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8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8" applyFont="1" applyFill="1" applyBorder="1" applyAlignment="1">
      <alignment horizontal="left" vertical="center" wrapText="1"/>
    </xf>
    <xf numFmtId="0" fontId="13" fillId="0" borderId="0" xfId="248" applyFont="1" applyFill="1"/>
    <xf numFmtId="0" fontId="5" fillId="0" borderId="0" xfId="248" applyFont="1" applyFill="1" applyBorder="1" applyAlignment="1">
      <alignment vertical="center" wrapText="1"/>
    </xf>
    <xf numFmtId="171" fontId="5" fillId="0" borderId="0" xfId="248" applyNumberFormat="1" applyFont="1" applyFill="1" applyBorder="1" applyAlignment="1">
      <alignment horizontal="center" vertical="center" wrapText="1"/>
    </xf>
    <xf numFmtId="171" fontId="5" fillId="0" borderId="0" xfId="248" applyNumberFormat="1" applyFont="1" applyFill="1" applyBorder="1" applyAlignment="1">
      <alignment horizontal="right" vertical="center" wrapText="1"/>
    </xf>
    <xf numFmtId="0" fontId="5" fillId="0" borderId="0" xfId="248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248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left" vertical="center" wrapText="1"/>
    </xf>
    <xf numFmtId="0" fontId="4" fillId="26" borderId="3" xfId="248" applyFont="1" applyFill="1" applyBorder="1" applyAlignment="1">
      <alignment horizontal="left" vertical="center" wrapText="1"/>
    </xf>
    <xf numFmtId="0" fontId="4" fillId="26" borderId="3" xfId="248" applyFont="1" applyFill="1" applyBorder="1" applyAlignment="1">
      <alignment horizontal="center" vertical="center" wrapText="1"/>
    </xf>
    <xf numFmtId="0" fontId="4" fillId="26" borderId="0" xfId="248" applyFont="1" applyFill="1" applyBorder="1" applyAlignment="1">
      <alignment vertical="center"/>
    </xf>
    <xf numFmtId="0" fontId="4" fillId="26" borderId="3" xfId="0" quotePrefix="1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1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/>
    </xf>
    <xf numFmtId="171" fontId="4" fillId="26" borderId="3" xfId="0" quotePrefix="1" applyNumberFormat="1" applyFont="1" applyFill="1" applyBorder="1" applyAlignment="1">
      <alignment horizontal="center" vertical="center" wrapText="1"/>
    </xf>
    <xf numFmtId="171" fontId="4" fillId="0" borderId="3" xfId="248" applyNumberFormat="1" applyFont="1" applyFill="1" applyBorder="1" applyAlignment="1">
      <alignment horizontal="center" vertical="center" wrapText="1"/>
    </xf>
    <xf numFmtId="171" fontId="4" fillId="26" borderId="3" xfId="248" applyNumberFormat="1" applyFont="1" applyFill="1" applyBorder="1" applyAlignment="1">
      <alignment horizontal="center" vertical="center" wrapText="1"/>
    </xf>
    <xf numFmtId="171" fontId="5" fillId="0" borderId="3" xfId="0" quotePrefix="1" applyNumberFormat="1" applyFont="1" applyFill="1" applyBorder="1" applyAlignment="1">
      <alignment horizontal="center" vertical="center" wrapText="1"/>
    </xf>
    <xf numFmtId="4" fontId="5" fillId="0" borderId="3" xfId="211" applyNumberFormat="1" applyFont="1" applyFill="1" applyBorder="1" applyAlignment="1">
      <alignment horizontal="center" vertical="center" wrapText="1"/>
    </xf>
    <xf numFmtId="171" fontId="5" fillId="0" borderId="3" xfId="248" applyNumberFormat="1" applyFont="1" applyFill="1" applyBorder="1" applyAlignment="1">
      <alignment horizontal="center" vertical="center" wrapText="1"/>
    </xf>
    <xf numFmtId="171" fontId="6" fillId="0" borderId="3" xfId="248" applyNumberFormat="1" applyFont="1" applyFill="1" applyBorder="1" applyAlignment="1">
      <alignment horizontal="center" vertical="center" wrapText="1"/>
    </xf>
    <xf numFmtId="171" fontId="5" fillId="0" borderId="3" xfId="248" quotePrefix="1" applyNumberFormat="1" applyFont="1" applyFill="1" applyBorder="1" applyAlignment="1">
      <alignment horizontal="center" vertical="center" wrapText="1"/>
    </xf>
    <xf numFmtId="171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171" fontId="5" fillId="29" borderId="3" xfId="0" applyNumberFormat="1" applyFont="1" applyFill="1" applyBorder="1" applyAlignment="1">
      <alignment horizontal="center" vertical="center" wrapText="1"/>
    </xf>
    <xf numFmtId="3" fontId="79" fillId="0" borderId="0" xfId="0" applyNumberFormat="1" applyFont="1" applyFill="1" applyBorder="1" applyAlignment="1">
      <alignment horizontal="center" vertical="center" wrapText="1"/>
    </xf>
    <xf numFmtId="4" fontId="79" fillId="0" borderId="0" xfId="0" applyNumberFormat="1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left" vertical="center" wrapText="1"/>
    </xf>
    <xf numFmtId="1" fontId="79" fillId="29" borderId="3" xfId="0" applyNumberFormat="1" applyFont="1" applyFill="1" applyBorder="1" applyAlignment="1">
      <alignment horizontal="left" vertical="center" wrapText="1"/>
    </xf>
    <xf numFmtId="0" fontId="4" fillId="29" borderId="0" xfId="0" applyFont="1" applyFill="1" applyBorder="1" applyAlignment="1">
      <alignment vertical="center"/>
    </xf>
    <xf numFmtId="49" fontId="5" fillId="29" borderId="3" xfId="0" applyNumberFormat="1" applyFont="1" applyFill="1" applyBorder="1" applyAlignment="1">
      <alignment horizontal="left" vertical="center" wrapText="1"/>
    </xf>
    <xf numFmtId="49" fontId="6" fillId="29" borderId="3" xfId="0" applyNumberFormat="1" applyFont="1" applyFill="1" applyBorder="1" applyAlignment="1">
      <alignment horizontal="left" vertical="center" wrapText="1"/>
    </xf>
    <xf numFmtId="0" fontId="5" fillId="29" borderId="0" xfId="0" applyFont="1" applyFill="1" applyBorder="1" applyAlignment="1">
      <alignment vertical="center"/>
    </xf>
    <xf numFmtId="0" fontId="5" fillId="29" borderId="3" xfId="0" applyFont="1" applyFill="1" applyBorder="1" applyAlignment="1">
      <alignment horizontal="left" vertical="center" wrapText="1"/>
    </xf>
    <xf numFmtId="0" fontId="5" fillId="29" borderId="0" xfId="0" applyFont="1" applyFill="1" applyAlignment="1">
      <alignment vertical="center"/>
    </xf>
    <xf numFmtId="2" fontId="5" fillId="29" borderId="3" xfId="0" applyNumberFormat="1" applyFont="1" applyFill="1" applyBorder="1" applyAlignment="1">
      <alignment horizontal="center" vertical="center" wrapText="1"/>
    </xf>
    <xf numFmtId="0" fontId="4" fillId="29" borderId="0" xfId="0" applyFont="1" applyFill="1" applyAlignment="1">
      <alignment vertical="center"/>
    </xf>
    <xf numFmtId="171" fontId="5" fillId="29" borderId="3" xfId="248" applyNumberFormat="1" applyFont="1" applyFill="1" applyBorder="1" applyAlignment="1">
      <alignment horizontal="center" vertical="center" wrapText="1"/>
    </xf>
    <xf numFmtId="171" fontId="6" fillId="29" borderId="3" xfId="248" applyNumberFormat="1" applyFont="1" applyFill="1" applyBorder="1" applyAlignment="1">
      <alignment horizontal="center" vertical="center" wrapText="1"/>
    </xf>
    <xf numFmtId="0" fontId="5" fillId="29" borderId="0" xfId="248" applyFont="1" applyFill="1" applyBorder="1" applyAlignment="1">
      <alignment vertical="center"/>
    </xf>
    <xf numFmtId="0" fontId="4" fillId="29" borderId="0" xfId="248" applyFont="1" applyFill="1" applyBorder="1" applyAlignment="1">
      <alignment vertical="center"/>
    </xf>
    <xf numFmtId="0" fontId="5" fillId="29" borderId="0" xfId="0" quotePrefix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/>
    </xf>
    <xf numFmtId="2" fontId="79" fillId="0" borderId="0" xfId="0" applyNumberFormat="1" applyFont="1" applyFill="1" applyBorder="1" applyAlignment="1">
      <alignment horizontal="center" vertical="center"/>
    </xf>
    <xf numFmtId="1" fontId="79" fillId="0" borderId="0" xfId="0" applyNumberFormat="1" applyFont="1" applyFill="1" applyAlignment="1">
      <alignment vertical="center"/>
    </xf>
    <xf numFmtId="171" fontId="79" fillId="0" borderId="0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center" vertical="center" wrapText="1" shrinkToFit="1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4" fillId="29" borderId="0" xfId="0" applyFont="1" applyFill="1" applyBorder="1" applyAlignment="1">
      <alignment vertical="center" wrapText="1"/>
    </xf>
    <xf numFmtId="0" fontId="5" fillId="29" borderId="0" xfId="0" applyFont="1" applyFill="1" applyAlignment="1">
      <alignment vertical="center" wrapText="1"/>
    </xf>
    <xf numFmtId="3" fontId="79" fillId="29" borderId="0" xfId="0" applyNumberFormat="1" applyFont="1" applyFill="1" applyBorder="1" applyAlignment="1">
      <alignment vertical="center"/>
    </xf>
    <xf numFmtId="3" fontId="5" fillId="29" borderId="0" xfId="0" applyNumberFormat="1" applyFont="1" applyFill="1" applyBorder="1" applyAlignment="1">
      <alignment horizontal="center" vertical="center" wrapText="1"/>
    </xf>
    <xf numFmtId="3" fontId="80" fillId="29" borderId="0" xfId="0" applyNumberFormat="1" applyFont="1" applyFill="1" applyBorder="1" applyAlignment="1">
      <alignment vertical="center"/>
    </xf>
    <xf numFmtId="3" fontId="5" fillId="29" borderId="0" xfId="0" applyNumberFormat="1" applyFont="1" applyFill="1" applyBorder="1" applyAlignment="1">
      <alignment vertical="center" wrapText="1"/>
    </xf>
    <xf numFmtId="1" fontId="4" fillId="29" borderId="3" xfId="0" applyNumberFormat="1" applyFont="1" applyFill="1" applyBorder="1" applyAlignment="1">
      <alignment horizontal="left" vertical="center" wrapText="1"/>
    </xf>
    <xf numFmtId="171" fontId="79" fillId="29" borderId="0" xfId="0" applyNumberFormat="1" applyFont="1" applyFill="1" applyBorder="1" applyAlignment="1">
      <alignment horizontal="center" vertical="center" wrapText="1"/>
    </xf>
    <xf numFmtId="1" fontId="5" fillId="29" borderId="3" xfId="0" applyNumberFormat="1" applyFont="1" applyFill="1" applyBorder="1" applyAlignment="1">
      <alignment horizontal="left" vertical="center" wrapText="1"/>
    </xf>
    <xf numFmtId="0" fontId="5" fillId="29" borderId="0" xfId="0" applyFont="1" applyFill="1" applyBorder="1"/>
    <xf numFmtId="0" fontId="5" fillId="29" borderId="0" xfId="0" applyFont="1" applyFill="1" applyBorder="1" applyAlignment="1">
      <alignment horizontal="left" vertical="center" wrapText="1" shrinkToFit="1"/>
    </xf>
    <xf numFmtId="0" fontId="9" fillId="29" borderId="0" xfId="0" applyFont="1" applyFill="1" applyAlignment="1">
      <alignment vertical="center"/>
    </xf>
    <xf numFmtId="0" fontId="7" fillId="29" borderId="0" xfId="0" applyFont="1" applyFill="1" applyAlignment="1">
      <alignment horizontal="center" vertical="center"/>
    </xf>
    <xf numFmtId="0" fontId="5" fillId="29" borderId="0" xfId="0" applyFont="1" applyFill="1" applyBorder="1" applyAlignment="1">
      <alignment horizontal="right" vertical="center"/>
    </xf>
    <xf numFmtId="1" fontId="5" fillId="29" borderId="0" xfId="0" applyNumberFormat="1" applyFont="1" applyFill="1" applyBorder="1" applyAlignment="1">
      <alignment horizontal="center" vertical="center"/>
    </xf>
    <xf numFmtId="3" fontId="5" fillId="29" borderId="3" xfId="0" applyNumberFormat="1" applyFont="1" applyFill="1" applyBorder="1" applyAlignment="1">
      <alignment horizontal="center" vertical="center"/>
    </xf>
    <xf numFmtId="3" fontId="5" fillId="29" borderId="14" xfId="0" applyNumberFormat="1" applyFont="1" applyFill="1" applyBorder="1" applyAlignment="1">
      <alignment horizontal="center" vertical="center" wrapText="1"/>
    </xf>
    <xf numFmtId="171" fontId="5" fillId="29" borderId="14" xfId="0" applyNumberFormat="1" applyFont="1" applyFill="1" applyBorder="1" applyAlignment="1">
      <alignment horizontal="center" vertical="center" wrapText="1"/>
    </xf>
    <xf numFmtId="0" fontId="8" fillId="29" borderId="0" xfId="0" applyFont="1" applyFill="1" applyBorder="1" applyAlignment="1">
      <alignment vertical="center"/>
    </xf>
    <xf numFmtId="0" fontId="0" fillId="29" borderId="17" xfId="0" applyFill="1" applyBorder="1" applyAlignment="1">
      <alignment horizontal="center" vertical="center" wrapText="1"/>
    </xf>
    <xf numFmtId="3" fontId="5" fillId="29" borderId="14" xfId="0" applyNumberFormat="1" applyFont="1" applyFill="1" applyBorder="1" applyAlignment="1">
      <alignment horizontal="center" vertical="center"/>
    </xf>
    <xf numFmtId="3" fontId="4" fillId="29" borderId="14" xfId="0" applyNumberFormat="1" applyFont="1" applyFill="1" applyBorder="1" applyAlignment="1">
      <alignment horizontal="center" vertical="center" wrapText="1"/>
    </xf>
    <xf numFmtId="3" fontId="4" fillId="29" borderId="17" xfId="0" applyNumberFormat="1" applyFont="1" applyFill="1" applyBorder="1" applyAlignment="1">
      <alignment horizontal="center" vertical="center" wrapText="1"/>
    </xf>
    <xf numFmtId="171" fontId="5" fillId="29" borderId="0" xfId="0" applyNumberFormat="1" applyFont="1" applyFill="1" applyAlignment="1">
      <alignment vertical="center"/>
    </xf>
    <xf numFmtId="0" fontId="4" fillId="29" borderId="13" xfId="0" applyFont="1" applyFill="1" applyBorder="1" applyAlignment="1">
      <alignment horizontal="left" vertical="center" wrapText="1"/>
    </xf>
    <xf numFmtId="0" fontId="9" fillId="29" borderId="3" xfId="0" applyFont="1" applyFill="1" applyBorder="1" applyAlignment="1">
      <alignment horizontal="center" vertical="center" wrapText="1" shrinkToFit="1"/>
    </xf>
    <xf numFmtId="0" fontId="9" fillId="29" borderId="3" xfId="0" applyFont="1" applyFill="1" applyBorder="1" applyAlignment="1">
      <alignment horizontal="center" vertical="center" wrapText="1"/>
    </xf>
    <xf numFmtId="0" fontId="9" fillId="29" borderId="18" xfId="0" applyFont="1" applyFill="1" applyBorder="1" applyAlignment="1">
      <alignment horizontal="center" vertical="center" wrapText="1"/>
    </xf>
    <xf numFmtId="2" fontId="9" fillId="29" borderId="18" xfId="0" applyNumberFormat="1" applyFont="1" applyFill="1" applyBorder="1" applyAlignment="1">
      <alignment horizontal="center" vertical="center" wrapText="1"/>
    </xf>
    <xf numFmtId="49" fontId="9" fillId="29" borderId="3" xfId="0" applyNumberFormat="1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left" vertical="center" wrapText="1" shrinkToFit="1"/>
    </xf>
    <xf numFmtId="0" fontId="0" fillId="29" borderId="3" xfId="0" applyFill="1" applyBorder="1" applyAlignment="1">
      <alignment horizontal="center" vertical="center" wrapText="1" shrinkToFit="1"/>
    </xf>
    <xf numFmtId="2" fontId="5" fillId="29" borderId="14" xfId="0" applyNumberFormat="1" applyFont="1" applyFill="1" applyBorder="1" applyAlignment="1">
      <alignment horizontal="center" vertical="center" wrapText="1" shrinkToFit="1"/>
    </xf>
    <xf numFmtId="170" fontId="4" fillId="29" borderId="0" xfId="0" applyNumberFormat="1" applyFont="1" applyFill="1" applyBorder="1" applyAlignment="1">
      <alignment horizontal="right" vertical="center" wrapText="1"/>
    </xf>
    <xf numFmtId="3" fontId="9" fillId="29" borderId="3" xfId="0" applyNumberFormat="1" applyFont="1" applyFill="1" applyBorder="1" applyAlignment="1">
      <alignment horizontal="center" vertical="center" wrapText="1" shrinkToFit="1"/>
    </xf>
    <xf numFmtId="0" fontId="9" fillId="29" borderId="3" xfId="0" applyFont="1" applyFill="1" applyBorder="1" applyAlignment="1">
      <alignment horizontal="left" vertical="center" wrapText="1"/>
    </xf>
    <xf numFmtId="2" fontId="9" fillId="29" borderId="3" xfId="0" applyNumberFormat="1" applyFont="1" applyFill="1" applyBorder="1" applyAlignment="1">
      <alignment horizontal="center" vertical="center" wrapText="1"/>
    </xf>
    <xf numFmtId="2" fontId="5" fillId="29" borderId="3" xfId="0" applyNumberFormat="1" applyFont="1" applyFill="1" applyBorder="1" applyAlignment="1">
      <alignment horizontal="center" vertical="center" wrapText="1" shrinkToFit="1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49" fontId="9" fillId="29" borderId="3" xfId="0" applyNumberFormat="1" applyFont="1" applyFill="1" applyBorder="1" applyAlignment="1">
      <alignment horizontal="center" vertical="center" wrapText="1"/>
    </xf>
    <xf numFmtId="3" fontId="9" fillId="29" borderId="3" xfId="0" applyNumberFormat="1" applyFont="1" applyFill="1" applyBorder="1" applyAlignment="1">
      <alignment horizontal="center" vertical="center" wrapText="1"/>
    </xf>
    <xf numFmtId="171" fontId="9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left" vertical="center" wrapText="1"/>
    </xf>
    <xf numFmtId="170" fontId="68" fillId="29" borderId="3" xfId="0" applyNumberFormat="1" applyFont="1" applyFill="1" applyBorder="1" applyAlignment="1">
      <alignment horizontal="center" vertical="center" wrapText="1"/>
    </xf>
    <xf numFmtId="0" fontId="0" fillId="29" borderId="0" xfId="0" applyFill="1" applyBorder="1" applyAlignment="1">
      <alignment vertical="center"/>
    </xf>
    <xf numFmtId="171" fontId="6" fillId="29" borderId="0" xfId="0" applyNumberFormat="1" applyFont="1" applyFill="1" applyBorder="1" applyAlignment="1">
      <alignment vertical="center"/>
    </xf>
    <xf numFmtId="0" fontId="5" fillId="29" borderId="0" xfId="0" applyFont="1" applyFill="1" applyAlignment="1">
      <alignment horizontal="left" vertical="center"/>
    </xf>
    <xf numFmtId="0" fontId="5" fillId="29" borderId="3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vertical="center"/>
    </xf>
    <xf numFmtId="0" fontId="4" fillId="29" borderId="3" xfId="0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/>
    </xf>
    <xf numFmtId="0" fontId="4" fillId="29" borderId="0" xfId="0" applyFont="1" applyFill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3" fontId="5" fillId="29" borderId="3" xfId="0" applyNumberFormat="1" applyFont="1" applyFill="1" applyBorder="1" applyAlignment="1">
      <alignment horizontal="center" vertical="center" wrapText="1"/>
    </xf>
    <xf numFmtId="0" fontId="0" fillId="29" borderId="18" xfId="0" applyFill="1" applyBorder="1" applyAlignment="1">
      <alignment horizontal="center" vertical="center" wrapText="1"/>
    </xf>
    <xf numFmtId="0" fontId="5" fillId="29" borderId="19" xfId="0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left" vertical="center"/>
    </xf>
    <xf numFmtId="3" fontId="5" fillId="29" borderId="17" xfId="0" applyNumberFormat="1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left" vertical="center" wrapText="1"/>
    </xf>
    <xf numFmtId="0" fontId="69" fillId="29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0" fontId="4" fillId="30" borderId="3" xfId="0" applyFont="1" applyFill="1" applyBorder="1" applyAlignment="1">
      <alignment horizontal="left" vertical="center" wrapText="1"/>
    </xf>
    <xf numFmtId="0" fontId="4" fillId="30" borderId="3" xfId="0" quotePrefix="1" applyFont="1" applyFill="1" applyBorder="1" applyAlignment="1">
      <alignment horizontal="center" vertical="center"/>
    </xf>
    <xf numFmtId="170" fontId="4" fillId="30" borderId="3" xfId="0" quotePrefix="1" applyNumberFormat="1" applyFont="1" applyFill="1" applyBorder="1" applyAlignment="1">
      <alignment horizontal="center" vertical="center" wrapText="1"/>
    </xf>
    <xf numFmtId="170" fontId="4" fillId="30" borderId="3" xfId="0" applyNumberFormat="1" applyFont="1" applyFill="1" applyBorder="1" applyAlignment="1">
      <alignment horizontal="center" vertical="center" wrapText="1"/>
    </xf>
    <xf numFmtId="0" fontId="4" fillId="31" borderId="3" xfId="0" quotePrefix="1" applyFont="1" applyFill="1" applyBorder="1" applyAlignment="1">
      <alignment horizontal="center" vertical="center"/>
    </xf>
    <xf numFmtId="170" fontId="4" fillId="31" borderId="3" xfId="0" applyNumberFormat="1" applyFont="1" applyFill="1" applyBorder="1" applyAlignment="1">
      <alignment horizontal="center" vertical="center" wrapText="1"/>
    </xf>
    <xf numFmtId="0" fontId="4" fillId="32" borderId="3" xfId="0" quotePrefix="1" applyFont="1" applyFill="1" applyBorder="1" applyAlignment="1">
      <alignment horizontal="center" vertical="center"/>
    </xf>
    <xf numFmtId="170" fontId="4" fillId="32" borderId="3" xfId="0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 wrapText="1"/>
    </xf>
    <xf numFmtId="0" fontId="4" fillId="30" borderId="3" xfId="0" applyFont="1" applyFill="1" applyBorder="1" applyAlignment="1">
      <alignment horizontal="left" vertical="center" wrapText="1" shrinkToFit="1"/>
    </xf>
    <xf numFmtId="0" fontId="4" fillId="32" borderId="19" xfId="0" applyFont="1" applyFill="1" applyBorder="1" applyAlignment="1">
      <alignment horizontal="center" vertical="center"/>
    </xf>
    <xf numFmtId="171" fontId="4" fillId="32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5" fillId="0" borderId="19" xfId="0" quotePrefix="1" applyFont="1" applyFill="1" applyBorder="1" applyAlignment="1">
      <alignment horizontal="center" vertical="center"/>
    </xf>
    <xf numFmtId="171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/>
    </xf>
    <xf numFmtId="171" fontId="4" fillId="0" borderId="0" xfId="0" quotePrefix="1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31" borderId="3" xfId="0" applyFont="1" applyFill="1" applyBorder="1" applyAlignment="1">
      <alignment horizontal="left" vertical="center" wrapText="1"/>
    </xf>
    <xf numFmtId="0" fontId="4" fillId="31" borderId="3" xfId="0" applyFont="1" applyFill="1" applyBorder="1" applyAlignment="1">
      <alignment horizontal="center" vertical="center" wrapText="1"/>
    </xf>
    <xf numFmtId="170" fontId="4" fillId="33" borderId="3" xfId="0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left" vertical="center" wrapText="1"/>
    </xf>
    <xf numFmtId="0" fontId="5" fillId="33" borderId="3" xfId="0" quotePrefix="1" applyFont="1" applyFill="1" applyBorder="1" applyAlignment="1">
      <alignment horizontal="center" vertical="center"/>
    </xf>
    <xf numFmtId="170" fontId="5" fillId="33" borderId="3" xfId="0" applyNumberFormat="1" applyFont="1" applyFill="1" applyBorder="1" applyAlignment="1">
      <alignment horizontal="center" vertical="center" wrapText="1"/>
    </xf>
    <xf numFmtId="170" fontId="5" fillId="33" borderId="3" xfId="0" quotePrefix="1" applyNumberFormat="1" applyFont="1" applyFill="1" applyBorder="1" applyAlignment="1">
      <alignment horizontal="center" vertical="center" wrapText="1"/>
    </xf>
    <xf numFmtId="170" fontId="9" fillId="33" borderId="3" xfId="0" applyNumberFormat="1" applyFont="1" applyFill="1" applyBorder="1" applyAlignment="1">
      <alignment horizontal="center" vertical="center" wrapText="1"/>
    </xf>
    <xf numFmtId="170" fontId="4" fillId="31" borderId="3" xfId="0" quotePrefix="1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quotePrefix="1" applyFont="1" applyFill="1" applyBorder="1" applyAlignment="1">
      <alignment horizontal="center" vertical="center"/>
    </xf>
    <xf numFmtId="170" fontId="5" fillId="31" borderId="3" xfId="0" applyNumberFormat="1" applyFont="1" applyFill="1" applyBorder="1" applyAlignment="1">
      <alignment horizontal="center" vertical="center" wrapText="1"/>
    </xf>
    <xf numFmtId="170" fontId="5" fillId="31" borderId="3" xfId="0" quotePrefix="1" applyNumberFormat="1" applyFont="1" applyFill="1" applyBorder="1" applyAlignment="1">
      <alignment horizontal="center" vertical="center" wrapText="1"/>
    </xf>
    <xf numFmtId="170" fontId="9" fillId="31" borderId="3" xfId="0" applyNumberFormat="1" applyFont="1" applyFill="1" applyBorder="1" applyAlignment="1">
      <alignment horizontal="center" vertical="center" wrapText="1"/>
    </xf>
    <xf numFmtId="49" fontId="6" fillId="33" borderId="3" xfId="0" applyNumberFormat="1" applyFont="1" applyFill="1" applyBorder="1" applyAlignment="1">
      <alignment horizontal="left" vertical="center" wrapText="1"/>
    </xf>
    <xf numFmtId="0" fontId="5" fillId="33" borderId="19" xfId="0" quotePrefix="1" applyFont="1" applyFill="1" applyBorder="1" applyAlignment="1">
      <alignment horizontal="center" vertical="center"/>
    </xf>
    <xf numFmtId="49" fontId="5" fillId="33" borderId="3" xfId="0" applyNumberFormat="1" applyFont="1" applyFill="1" applyBorder="1" applyAlignment="1">
      <alignment horizontal="left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170" fontId="6" fillId="0" borderId="3" xfId="0" quotePrefix="1" applyNumberFormat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/>
    </xf>
    <xf numFmtId="0" fontId="6" fillId="33" borderId="3" xfId="0" quotePrefix="1" applyFont="1" applyFill="1" applyBorder="1" applyAlignment="1">
      <alignment horizontal="center" vertical="center"/>
    </xf>
    <xf numFmtId="170" fontId="6" fillId="33" borderId="3" xfId="0" applyNumberFormat="1" applyFont="1" applyFill="1" applyBorder="1" applyAlignment="1">
      <alignment horizontal="center" vertical="center" wrapText="1"/>
    </xf>
    <xf numFmtId="170" fontId="6" fillId="33" borderId="3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70" fontId="71" fillId="0" borderId="3" xfId="0" applyNumberFormat="1" applyFont="1" applyFill="1" applyBorder="1" applyAlignment="1">
      <alignment horizontal="center" vertical="center" wrapText="1"/>
    </xf>
    <xf numFmtId="170" fontId="7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170" fontId="6" fillId="0" borderId="3" xfId="0" quotePrefix="1" applyNumberFormat="1" applyFont="1" applyFill="1" applyBorder="1" applyAlignment="1">
      <alignment horizontal="center" vertical="center"/>
    </xf>
    <xf numFmtId="0" fontId="6" fillId="0" borderId="19" xfId="0" quotePrefix="1" applyFont="1" applyFill="1" applyBorder="1" applyAlignment="1">
      <alignment horizontal="center" vertical="center"/>
    </xf>
    <xf numFmtId="0" fontId="5" fillId="33" borderId="3" xfId="0" quotePrefix="1" applyNumberFormat="1" applyFont="1" applyFill="1" applyBorder="1" applyAlignment="1">
      <alignment horizontal="center" vertical="center" wrapText="1"/>
    </xf>
    <xf numFmtId="171" fontId="5" fillId="33" borderId="3" xfId="0" quotePrefix="1" applyNumberFormat="1" applyFont="1" applyFill="1" applyBorder="1" applyAlignment="1">
      <alignment horizontal="center" vertical="center" wrapText="1"/>
    </xf>
    <xf numFmtId="171" fontId="5" fillId="33" borderId="3" xfId="0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3" xfId="0" applyFont="1" applyFill="1" applyBorder="1" applyAlignment="1">
      <alignment vertical="center"/>
    </xf>
    <xf numFmtId="3" fontId="5" fillId="33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 wrapText="1" indent="6"/>
    </xf>
    <xf numFmtId="170" fontId="4" fillId="32" borderId="3" xfId="0" quotePrefix="1" applyNumberFormat="1" applyFont="1" applyFill="1" applyBorder="1" applyAlignment="1">
      <alignment horizontal="center" vertical="center" wrapText="1"/>
    </xf>
    <xf numFmtId="170" fontId="72" fillId="29" borderId="3" xfId="0" applyNumberFormat="1" applyFont="1" applyFill="1" applyBorder="1" applyAlignment="1">
      <alignment horizontal="center" vertical="center" wrapText="1"/>
    </xf>
    <xf numFmtId="170" fontId="9" fillId="29" borderId="3" xfId="0" applyNumberFormat="1" applyFont="1" applyFill="1" applyBorder="1" applyAlignment="1">
      <alignment horizontal="center" vertical="center" wrapText="1"/>
    </xf>
    <xf numFmtId="170" fontId="5" fillId="29" borderId="3" xfId="0" quotePrefix="1" applyNumberFormat="1" applyFont="1" applyFill="1" applyBorder="1" applyAlignment="1">
      <alignment horizontal="center" vertical="center" wrapText="1"/>
    </xf>
    <xf numFmtId="170" fontId="4" fillId="29" borderId="3" xfId="0" applyNumberFormat="1" applyFont="1" applyFill="1" applyBorder="1" applyAlignment="1">
      <alignment horizontal="center" vertical="center" wrapText="1"/>
    </xf>
    <xf numFmtId="170" fontId="5" fillId="29" borderId="3" xfId="0" applyNumberFormat="1" applyFont="1" applyFill="1" applyBorder="1" applyAlignment="1">
      <alignment horizontal="center" vertical="center" wrapText="1"/>
    </xf>
    <xf numFmtId="170" fontId="6" fillId="29" borderId="3" xfId="0" applyNumberFormat="1" applyFont="1" applyFill="1" applyBorder="1" applyAlignment="1">
      <alignment horizontal="center" vertical="center" wrapText="1"/>
    </xf>
    <xf numFmtId="170" fontId="6" fillId="29" borderId="3" xfId="0" quotePrefix="1" applyNumberFormat="1" applyFont="1" applyFill="1" applyBorder="1" applyAlignment="1">
      <alignment horizontal="center" vertical="center" wrapText="1"/>
    </xf>
    <xf numFmtId="0" fontId="5" fillId="29" borderId="3" xfId="0" quotePrefix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vertical="center"/>
    </xf>
    <xf numFmtId="0" fontId="4" fillId="3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29" borderId="3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170" fontId="71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71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2" fontId="5" fillId="29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5" fillId="29" borderId="3" xfId="248" applyFont="1" applyFill="1" applyBorder="1" applyAlignment="1">
      <alignment horizontal="left" vertical="center" wrapText="1"/>
    </xf>
    <xf numFmtId="170" fontId="5" fillId="0" borderId="0" xfId="0" applyNumberFormat="1" applyFont="1" applyFill="1" applyAlignment="1">
      <alignment vertical="center"/>
    </xf>
    <xf numFmtId="171" fontId="5" fillId="29" borderId="3" xfId="0" quotePrefix="1" applyNumberFormat="1" applyFont="1" applyFill="1" applyBorder="1" applyAlignment="1">
      <alignment horizontal="center" vertical="center" wrapText="1"/>
    </xf>
    <xf numFmtId="171" fontId="4" fillId="29" borderId="3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1" fontId="5" fillId="29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vertical="center"/>
    </xf>
    <xf numFmtId="0" fontId="5" fillId="29" borderId="17" xfId="0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left" vertical="center"/>
    </xf>
    <xf numFmtId="0" fontId="5" fillId="29" borderId="3" xfId="0" applyFont="1" applyFill="1" applyBorder="1" applyAlignment="1">
      <alignment horizontal="center" vertical="center" wrapText="1"/>
    </xf>
    <xf numFmtId="0" fontId="5" fillId="29" borderId="19" xfId="0" applyFont="1" applyFill="1" applyBorder="1" applyAlignment="1">
      <alignment horizontal="center" vertical="center" wrapText="1"/>
    </xf>
    <xf numFmtId="0" fontId="0" fillId="29" borderId="18" xfId="0" applyFill="1" applyBorder="1" applyAlignment="1">
      <alignment horizontal="center" vertical="center" wrapText="1"/>
    </xf>
    <xf numFmtId="3" fontId="5" fillId="29" borderId="17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0" fontId="4" fillId="29" borderId="0" xfId="0" applyFont="1" applyFill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2" fontId="5" fillId="0" borderId="3" xfId="0" quotePrefix="1" applyNumberFormat="1" applyFont="1" applyFill="1" applyBorder="1" applyAlignment="1">
      <alignment horizontal="center" vertical="center" wrapText="1"/>
    </xf>
    <xf numFmtId="171" fontId="5" fillId="29" borderId="0" xfId="0" applyNumberFormat="1" applyFont="1" applyFill="1" applyBorder="1" applyAlignment="1">
      <alignment horizontal="center" vertical="center"/>
    </xf>
    <xf numFmtId="170" fontId="5" fillId="29" borderId="0" xfId="0" applyNumberFormat="1" applyFont="1" applyFill="1" applyBorder="1" applyAlignment="1">
      <alignment horizontal="center" vertical="center" wrapText="1"/>
    </xf>
    <xf numFmtId="180" fontId="5" fillId="29" borderId="0" xfId="0" quotePrefix="1" applyNumberFormat="1" applyFont="1" applyFill="1" applyBorder="1" applyAlignment="1">
      <alignment horizontal="center" vertical="center" wrapText="1"/>
    </xf>
    <xf numFmtId="0" fontId="80" fillId="29" borderId="0" xfId="0" applyFont="1" applyFill="1" applyBorder="1" applyAlignment="1">
      <alignment horizontal="center" vertical="center" wrapText="1"/>
    </xf>
    <xf numFmtId="2" fontId="82" fillId="29" borderId="3" xfId="0" applyNumberFormat="1" applyFont="1" applyFill="1" applyBorder="1" applyAlignment="1">
      <alignment horizontal="center" vertical="center" wrapText="1"/>
    </xf>
    <xf numFmtId="0" fontId="79" fillId="29" borderId="0" xfId="0" applyFont="1" applyFill="1" applyBorder="1" applyAlignment="1">
      <alignment horizontal="left" vertical="center"/>
    </xf>
    <xf numFmtId="2" fontId="79" fillId="29" borderId="0" xfId="0" applyNumberFormat="1" applyFont="1" applyFill="1" applyBorder="1" applyAlignment="1">
      <alignment horizontal="center" vertical="center"/>
    </xf>
    <xf numFmtId="1" fontId="79" fillId="29" borderId="0" xfId="0" applyNumberFormat="1" applyFont="1" applyFill="1" applyAlignment="1">
      <alignment vertical="center"/>
    </xf>
    <xf numFmtId="4" fontId="79" fillId="29" borderId="0" xfId="0" applyNumberFormat="1" applyFont="1" applyFill="1" applyBorder="1" applyAlignment="1">
      <alignment horizontal="center" vertical="center" wrapText="1"/>
    </xf>
    <xf numFmtId="3" fontId="79" fillId="29" borderId="0" xfId="0" applyNumberFormat="1" applyFont="1" applyFill="1" applyBorder="1" applyAlignment="1">
      <alignment horizontal="center" vertical="center" wrapText="1"/>
    </xf>
    <xf numFmtId="0" fontId="79" fillId="29" borderId="0" xfId="0" applyFont="1" applyFill="1" applyBorder="1" applyAlignment="1">
      <alignment horizontal="center" vertical="center"/>
    </xf>
    <xf numFmtId="0" fontId="79" fillId="29" borderId="0" xfId="0" applyFont="1" applyFill="1" applyAlignment="1">
      <alignment vertical="center"/>
    </xf>
    <xf numFmtId="49" fontId="6" fillId="29" borderId="3" xfId="0" applyNumberFormat="1" applyFont="1" applyFill="1" applyBorder="1" applyAlignment="1">
      <alignment horizontal="left" vertical="center" wrapText="1" indent="3"/>
    </xf>
    <xf numFmtId="2" fontId="83" fillId="29" borderId="3" xfId="0" applyNumberFormat="1" applyFont="1" applyFill="1" applyBorder="1" applyAlignment="1">
      <alignment horizontal="center" vertical="center" wrapText="1"/>
    </xf>
    <xf numFmtId="2" fontId="6" fillId="29" borderId="3" xfId="0" applyNumberFormat="1" applyFont="1" applyFill="1" applyBorder="1" applyAlignment="1">
      <alignment horizontal="center" vertical="center" wrapText="1"/>
    </xf>
    <xf numFmtId="0" fontId="6" fillId="29" borderId="3" xfId="0" applyFont="1" applyFill="1" applyBorder="1" applyAlignment="1">
      <alignment horizontal="center" vertical="center" wrapText="1"/>
    </xf>
    <xf numFmtId="0" fontId="81" fillId="29" borderId="0" xfId="0" applyFont="1" applyFill="1" applyAlignment="1">
      <alignment vertical="center"/>
    </xf>
    <xf numFmtId="0" fontId="6" fillId="29" borderId="0" xfId="0" applyFont="1" applyFill="1" applyBorder="1" applyAlignment="1">
      <alignment horizontal="center" vertical="center"/>
    </xf>
    <xf numFmtId="0" fontId="81" fillId="29" borderId="0" xfId="0" applyFont="1" applyFill="1" applyBorder="1" applyAlignment="1">
      <alignment horizontal="center" vertical="center"/>
    </xf>
    <xf numFmtId="0" fontId="6" fillId="29" borderId="0" xfId="0" applyFont="1" applyFill="1" applyAlignment="1">
      <alignment vertical="center"/>
    </xf>
    <xf numFmtId="171" fontId="84" fillId="29" borderId="3" xfId="0" applyNumberFormat="1" applyFont="1" applyFill="1" applyBorder="1" applyAlignment="1">
      <alignment horizontal="center" vertical="center" wrapText="1"/>
    </xf>
    <xf numFmtId="171" fontId="4" fillId="29" borderId="3" xfId="0" applyNumberFormat="1" applyFont="1" applyFill="1" applyBorder="1" applyAlignment="1">
      <alignment horizontal="center" vertical="center" wrapText="1"/>
    </xf>
    <xf numFmtId="3" fontId="4" fillId="29" borderId="0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left" vertical="center" wrapText="1"/>
    </xf>
    <xf numFmtId="0" fontId="5" fillId="29" borderId="15" xfId="0" applyFont="1" applyFill="1" applyBorder="1" applyAlignment="1">
      <alignment horizontal="center" vertical="center" wrapText="1"/>
    </xf>
    <xf numFmtId="0" fontId="9" fillId="29" borderId="14" xfId="0" applyFont="1" applyFill="1" applyBorder="1" applyAlignment="1">
      <alignment horizontal="center" vertical="center" wrapText="1"/>
    </xf>
    <xf numFmtId="0" fontId="9" fillId="29" borderId="0" xfId="0" applyFont="1" applyFill="1" applyBorder="1" applyAlignment="1">
      <alignment horizontal="center" vertical="center" wrapText="1"/>
    </xf>
    <xf numFmtId="49" fontId="9" fillId="29" borderId="14" xfId="0" applyNumberFormat="1" applyFont="1" applyFill="1" applyBorder="1" applyAlignment="1">
      <alignment horizontal="left" vertical="center" wrapText="1"/>
    </xf>
    <xf numFmtId="3" fontId="9" fillId="29" borderId="0" xfId="0" applyNumberFormat="1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 shrinkToFit="1"/>
    </xf>
    <xf numFmtId="170" fontId="4" fillId="29" borderId="0" xfId="0" applyNumberFormat="1" applyFont="1" applyFill="1" applyBorder="1" applyAlignment="1">
      <alignment horizontal="center" vertical="center" wrapText="1"/>
    </xf>
    <xf numFmtId="171" fontId="4" fillId="29" borderId="0" xfId="0" applyNumberFormat="1" applyFont="1" applyFill="1" applyBorder="1" applyAlignment="1">
      <alignment horizontal="center" vertical="center" wrapText="1"/>
    </xf>
    <xf numFmtId="171" fontId="4" fillId="29" borderId="0" xfId="0" applyNumberFormat="1" applyFont="1" applyFill="1" applyBorder="1" applyAlignment="1">
      <alignment horizontal="center" vertical="center"/>
    </xf>
    <xf numFmtId="49" fontId="9" fillId="29" borderId="0" xfId="0" applyNumberFormat="1" applyFont="1" applyFill="1" applyBorder="1" applyAlignment="1">
      <alignment horizontal="left" vertical="center" wrapText="1"/>
    </xf>
    <xf numFmtId="178" fontId="9" fillId="29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Alignment="1">
      <alignment horizontal="right" vertical="center"/>
    </xf>
    <xf numFmtId="4" fontId="9" fillId="29" borderId="3" xfId="0" applyNumberFormat="1" applyFont="1" applyFill="1" applyBorder="1" applyAlignment="1">
      <alignment horizontal="center" vertical="center" wrapText="1"/>
    </xf>
    <xf numFmtId="171" fontId="5" fillId="29" borderId="3" xfId="0" applyNumberFormat="1" applyFont="1" applyFill="1" applyBorder="1" applyAlignment="1">
      <alignment horizontal="center" vertical="center"/>
    </xf>
    <xf numFmtId="3" fontId="4" fillId="29" borderId="3" xfId="0" applyNumberFormat="1" applyFont="1" applyFill="1" applyBorder="1" applyAlignment="1">
      <alignment horizontal="left" vertical="center" wrapText="1"/>
    </xf>
    <xf numFmtId="2" fontId="4" fillId="29" borderId="3" xfId="0" applyNumberFormat="1" applyFont="1" applyFill="1" applyBorder="1" applyAlignment="1">
      <alignment horizontal="center" vertical="center" wrapText="1"/>
    </xf>
    <xf numFmtId="3" fontId="4" fillId="29" borderId="3" xfId="0" applyNumberFormat="1" applyFont="1" applyFill="1" applyBorder="1" applyAlignment="1">
      <alignment horizontal="center" vertical="center" wrapText="1"/>
    </xf>
    <xf numFmtId="171" fontId="4" fillId="29" borderId="3" xfId="0" applyNumberFormat="1" applyFont="1" applyFill="1" applyBorder="1" applyAlignment="1">
      <alignment horizontal="center" vertical="center"/>
    </xf>
    <xf numFmtId="49" fontId="5" fillId="29" borderId="0" xfId="0" applyNumberFormat="1" applyFont="1" applyFill="1" applyBorder="1" applyAlignment="1">
      <alignment horizontal="left" vertical="center"/>
    </xf>
    <xf numFmtId="49" fontId="5" fillId="29" borderId="0" xfId="0" applyNumberFormat="1" applyFont="1" applyFill="1" applyBorder="1" applyAlignment="1">
      <alignment horizontal="center" vertical="center"/>
    </xf>
    <xf numFmtId="0" fontId="85" fillId="29" borderId="0" xfId="0" applyFont="1" applyFill="1" applyBorder="1" applyAlignment="1">
      <alignment horizontal="left" vertical="center" wrapText="1"/>
    </xf>
    <xf numFmtId="0" fontId="86" fillId="29" borderId="0" xfId="0" quotePrefix="1" applyFont="1" applyFill="1" applyBorder="1" applyAlignment="1">
      <alignment horizontal="center" vertical="center"/>
    </xf>
    <xf numFmtId="171" fontId="87" fillId="29" borderId="0" xfId="0" applyNumberFormat="1" applyFont="1" applyFill="1" applyBorder="1" applyAlignment="1">
      <alignment vertical="center"/>
    </xf>
    <xf numFmtId="0" fontId="5" fillId="29" borderId="0" xfId="0" applyFont="1" applyFill="1" applyBorder="1" applyAlignment="1">
      <alignment horizontal="left" vertical="center"/>
    </xf>
    <xf numFmtId="3" fontId="79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3" fontId="80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right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right" vertical="center" wrapText="1"/>
    </xf>
    <xf numFmtId="0" fontId="79" fillId="0" borderId="3" xfId="0" applyFont="1" applyFill="1" applyBorder="1" applyAlignment="1">
      <alignment horizontal="right" vertical="center" wrapText="1"/>
    </xf>
    <xf numFmtId="1" fontId="79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" fontId="82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4" fontId="79" fillId="0" borderId="0" xfId="0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170" fontId="8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32" borderId="3" xfId="0" applyFont="1" applyFill="1" applyBorder="1" applyAlignment="1">
      <alignment horizontal="left" vertical="center" wrapText="1"/>
    </xf>
    <xf numFmtId="0" fontId="4" fillId="0" borderId="0" xfId="248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16" xfId="248" applyFont="1" applyFill="1" applyBorder="1" applyAlignment="1">
      <alignment horizontal="center" vertical="center" wrapText="1"/>
    </xf>
    <xf numFmtId="0" fontId="4" fillId="0" borderId="3" xfId="248" applyFont="1" applyFill="1" applyBorder="1" applyAlignment="1">
      <alignment horizontal="left" vertical="center" wrapText="1"/>
    </xf>
    <xf numFmtId="0" fontId="5" fillId="0" borderId="19" xfId="248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5" fillId="29" borderId="17" xfId="0" applyFont="1" applyFill="1" applyBorder="1" applyAlignment="1">
      <alignment horizontal="left" vertical="center" wrapText="1"/>
    </xf>
    <xf numFmtId="0" fontId="5" fillId="29" borderId="18" xfId="0" applyFont="1" applyFill="1" applyBorder="1" applyAlignment="1">
      <alignment horizontal="left" vertical="center" wrapText="1"/>
    </xf>
    <xf numFmtId="0" fontId="0" fillId="29" borderId="14" xfId="0" applyFill="1" applyBorder="1" applyAlignment="1">
      <alignment horizontal="left" vertical="center" wrapText="1"/>
    </xf>
    <xf numFmtId="3" fontId="4" fillId="29" borderId="17" xfId="0" applyNumberFormat="1" applyFont="1" applyFill="1" applyBorder="1" applyAlignment="1">
      <alignment horizontal="left" vertical="center" wrapText="1"/>
    </xf>
    <xf numFmtId="3" fontId="4" fillId="29" borderId="18" xfId="0" applyNumberFormat="1" applyFont="1" applyFill="1" applyBorder="1" applyAlignment="1">
      <alignment horizontal="left" vertical="center" wrapText="1"/>
    </xf>
    <xf numFmtId="0" fontId="75" fillId="29" borderId="14" xfId="0" applyFont="1" applyFill="1" applyBorder="1" applyAlignment="1">
      <alignment horizontal="left" vertical="center" wrapText="1"/>
    </xf>
    <xf numFmtId="0" fontId="5" fillId="29" borderId="21" xfId="0" applyFont="1" applyFill="1" applyBorder="1" applyAlignment="1">
      <alignment horizontal="center" vertical="center" wrapText="1"/>
    </xf>
    <xf numFmtId="0" fontId="5" fillId="29" borderId="20" xfId="0" applyFont="1" applyFill="1" applyBorder="1" applyAlignment="1">
      <alignment horizontal="center" vertical="center" wrapText="1"/>
    </xf>
    <xf numFmtId="0" fontId="0" fillId="29" borderId="22" xfId="0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vertical="center" wrapText="1"/>
    </xf>
    <xf numFmtId="0" fontId="0" fillId="29" borderId="24" xfId="0" applyFill="1" applyBorder="1" applyAlignment="1">
      <alignment horizontal="center" vertical="center" wrapText="1"/>
    </xf>
    <xf numFmtId="0" fontId="5" fillId="29" borderId="25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0" fillId="29" borderId="15" xfId="0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center" vertical="center" wrapText="1"/>
    </xf>
    <xf numFmtId="0" fontId="0" fillId="29" borderId="14" xfId="0" applyFill="1" applyBorder="1" applyAlignment="1">
      <alignment horizontal="center" vertical="center" wrapText="1"/>
    </xf>
    <xf numFmtId="3" fontId="5" fillId="29" borderId="17" xfId="0" applyNumberFormat="1" applyFont="1" applyFill="1" applyBorder="1" applyAlignment="1">
      <alignment horizontal="left" vertical="center" wrapText="1"/>
    </xf>
    <xf numFmtId="3" fontId="5" fillId="29" borderId="18" xfId="0" applyNumberFormat="1" applyFont="1" applyFill="1" applyBorder="1" applyAlignment="1">
      <alignment horizontal="left" vertical="center" wrapText="1"/>
    </xf>
    <xf numFmtId="0" fontId="0" fillId="29" borderId="18" xfId="0" applyFill="1" applyBorder="1" applyAlignment="1">
      <alignment horizontal="left" vertical="center" wrapText="1"/>
    </xf>
    <xf numFmtId="0" fontId="9" fillId="29" borderId="17" xfId="0" applyFont="1" applyFill="1" applyBorder="1" applyAlignment="1">
      <alignment horizontal="center" vertical="center" wrapText="1" shrinkToFit="1"/>
    </xf>
    <xf numFmtId="0" fontId="9" fillId="29" borderId="18" xfId="0" applyFont="1" applyFill="1" applyBorder="1" applyAlignment="1">
      <alignment horizontal="center" vertical="center" wrapText="1" shrinkToFit="1"/>
    </xf>
    <xf numFmtId="0" fontId="0" fillId="29" borderId="14" xfId="0" applyFill="1" applyBorder="1" applyAlignment="1">
      <alignment horizontal="center" vertical="center" wrapText="1" shrinkToFit="1"/>
    </xf>
    <xf numFmtId="0" fontId="4" fillId="29" borderId="0" xfId="0" applyFont="1" applyFill="1" applyBorder="1" applyAlignment="1">
      <alignment horizontal="left" vertical="center"/>
    </xf>
    <xf numFmtId="0" fontId="5" fillId="29" borderId="16" xfId="0" applyFont="1" applyFill="1" applyBorder="1" applyAlignment="1">
      <alignment horizontal="center" vertical="center" wrapText="1"/>
    </xf>
    <xf numFmtId="0" fontId="5" fillId="29" borderId="26" xfId="0" applyFont="1" applyFill="1" applyBorder="1" applyAlignment="1">
      <alignment horizontal="center" vertical="center" wrapText="1"/>
    </xf>
    <xf numFmtId="0" fontId="5" fillId="29" borderId="19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0" fillId="29" borderId="18" xfId="0" applyFill="1" applyBorder="1" applyAlignment="1">
      <alignment horizontal="center" vertical="center" wrapText="1"/>
    </xf>
    <xf numFmtId="3" fontId="5" fillId="29" borderId="17" xfId="0" applyNumberFormat="1" applyFont="1" applyFill="1" applyBorder="1" applyAlignment="1">
      <alignment horizontal="center" vertical="center" wrapText="1"/>
    </xf>
    <xf numFmtId="3" fontId="5" fillId="29" borderId="18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0" fillId="29" borderId="18" xfId="0" applyFill="1" applyBorder="1" applyAlignment="1">
      <alignment horizontal="center" vertical="center"/>
    </xf>
    <xf numFmtId="0" fontId="0" fillId="29" borderId="14" xfId="0" applyFill="1" applyBorder="1" applyAlignment="1">
      <alignment horizontal="center" vertical="center"/>
    </xf>
    <xf numFmtId="0" fontId="5" fillId="29" borderId="3" xfId="0" applyFont="1" applyFill="1" applyBorder="1" applyAlignment="1">
      <alignment horizontal="center" vertical="center"/>
    </xf>
    <xf numFmtId="0" fontId="0" fillId="29" borderId="26" xfId="0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left" vertical="center" wrapText="1" shrinkToFit="1"/>
    </xf>
    <xf numFmtId="0" fontId="9" fillId="29" borderId="18" xfId="0" applyFont="1" applyFill="1" applyBorder="1" applyAlignment="1">
      <alignment horizontal="left" vertical="center" wrapText="1" shrinkToFit="1"/>
    </xf>
    <xf numFmtId="0" fontId="0" fillId="29" borderId="14" xfId="0" applyFill="1" applyBorder="1" applyAlignment="1">
      <alignment horizontal="left" vertical="center" wrapText="1" shrinkToFit="1"/>
    </xf>
    <xf numFmtId="49" fontId="5" fillId="29" borderId="17" xfId="0" applyNumberFormat="1" applyFont="1" applyFill="1" applyBorder="1" applyAlignment="1">
      <alignment horizontal="left" vertical="center" wrapText="1"/>
    </xf>
    <xf numFmtId="49" fontId="5" fillId="29" borderId="18" xfId="0" applyNumberFormat="1" applyFont="1" applyFill="1" applyBorder="1" applyAlignment="1">
      <alignment horizontal="left" vertical="center" wrapText="1"/>
    </xf>
    <xf numFmtId="49" fontId="5" fillId="29" borderId="17" xfId="0" applyNumberFormat="1" applyFont="1" applyFill="1" applyBorder="1" applyAlignment="1">
      <alignment horizontal="center" vertical="center" wrapText="1"/>
    </xf>
    <xf numFmtId="49" fontId="5" fillId="29" borderId="18" xfId="0" applyNumberFormat="1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left" vertical="center" wrapText="1" shrinkToFit="1"/>
    </xf>
    <xf numFmtId="0" fontId="5" fillId="29" borderId="18" xfId="0" applyFont="1" applyFill="1" applyBorder="1" applyAlignment="1">
      <alignment horizontal="left" vertical="center" wrapText="1" shrinkToFit="1"/>
    </xf>
    <xf numFmtId="0" fontId="0" fillId="29" borderId="23" xfId="0" applyFill="1" applyBorder="1" applyAlignment="1">
      <alignment horizontal="center" vertical="center" wrapText="1"/>
    </xf>
    <xf numFmtId="0" fontId="0" fillId="29" borderId="0" xfId="0" applyFill="1" applyBorder="1" applyAlignment="1">
      <alignment horizontal="center" vertical="center" wrapText="1"/>
    </xf>
    <xf numFmtId="0" fontId="0" fillId="29" borderId="25" xfId="0" applyFill="1" applyBorder="1" applyAlignment="1">
      <alignment horizontal="center" vertical="center" wrapText="1"/>
    </xf>
    <xf numFmtId="0" fontId="0" fillId="29" borderId="13" xfId="0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 shrinkToFit="1"/>
    </xf>
    <xf numFmtId="0" fontId="5" fillId="29" borderId="19" xfId="0" applyFont="1" applyFill="1" applyBorder="1" applyAlignment="1">
      <alignment horizontal="center" vertical="center" wrapText="1" shrinkToFit="1"/>
    </xf>
    <xf numFmtId="0" fontId="5" fillId="29" borderId="26" xfId="0" applyFont="1" applyFill="1" applyBorder="1" applyAlignment="1">
      <alignment horizontal="center" vertical="center" wrapText="1" shrinkToFit="1"/>
    </xf>
    <xf numFmtId="0" fontId="5" fillId="29" borderId="17" xfId="0" applyFont="1" applyFill="1" applyBorder="1" applyAlignment="1">
      <alignment horizontal="center" vertical="center" wrapText="1" shrinkToFit="1"/>
    </xf>
    <xf numFmtId="0" fontId="5" fillId="29" borderId="18" xfId="0" applyFont="1" applyFill="1" applyBorder="1" applyAlignment="1">
      <alignment horizontal="center" vertical="center" wrapText="1" shrinkToFit="1"/>
    </xf>
    <xf numFmtId="0" fontId="5" fillId="29" borderId="21" xfId="0" applyFont="1" applyFill="1" applyBorder="1" applyAlignment="1">
      <alignment horizontal="center" vertical="center" wrapText="1" shrinkToFit="1"/>
    </xf>
    <xf numFmtId="0" fontId="5" fillId="29" borderId="20" xfId="0" applyFont="1" applyFill="1" applyBorder="1" applyAlignment="1">
      <alignment horizontal="center" vertical="center" wrapText="1" shrinkToFit="1"/>
    </xf>
    <xf numFmtId="0" fontId="0" fillId="29" borderId="22" xfId="0" applyFill="1" applyBorder="1" applyAlignment="1">
      <alignment horizontal="center" vertical="center" wrapText="1" shrinkToFit="1"/>
    </xf>
    <xf numFmtId="0" fontId="5" fillId="29" borderId="23" xfId="0" applyFont="1" applyFill="1" applyBorder="1" applyAlignment="1">
      <alignment horizontal="center" vertical="center" wrapText="1" shrinkToFit="1"/>
    </xf>
    <xf numFmtId="0" fontId="5" fillId="29" borderId="0" xfId="0" applyFont="1" applyFill="1" applyBorder="1" applyAlignment="1">
      <alignment horizontal="center" vertical="center" wrapText="1" shrinkToFit="1"/>
    </xf>
    <xf numFmtId="0" fontId="0" fillId="29" borderId="24" xfId="0" applyFill="1" applyBorder="1" applyAlignment="1">
      <alignment horizontal="center" vertical="center" wrapText="1" shrinkToFit="1"/>
    </xf>
    <xf numFmtId="0" fontId="5" fillId="29" borderId="25" xfId="0" applyFont="1" applyFill="1" applyBorder="1" applyAlignment="1">
      <alignment horizontal="center" vertical="center" wrapText="1" shrinkToFit="1"/>
    </xf>
    <xf numFmtId="0" fontId="5" fillId="29" borderId="13" xfId="0" applyFont="1" applyFill="1" applyBorder="1" applyAlignment="1">
      <alignment horizontal="center" vertical="center" wrapText="1" shrinkToFit="1"/>
    </xf>
    <xf numFmtId="0" fontId="0" fillId="29" borderId="15" xfId="0" applyFill="1" applyBorder="1" applyAlignment="1">
      <alignment horizontal="center" vertical="center" wrapText="1" shrinkToFit="1"/>
    </xf>
    <xf numFmtId="0" fontId="9" fillId="29" borderId="13" xfId="0" applyFont="1" applyFill="1" applyBorder="1" applyAlignment="1">
      <alignment horizontal="right" vertical="center"/>
    </xf>
    <xf numFmtId="0" fontId="0" fillId="29" borderId="20" xfId="0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29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1" fontId="86" fillId="29" borderId="0" xfId="0" applyNumberFormat="1" applyFont="1" applyFill="1" applyBorder="1" applyAlignment="1">
      <alignment horizontal="left" vertical="center" wrapText="1"/>
    </xf>
    <xf numFmtId="171" fontId="82" fillId="0" borderId="3" xfId="0" applyNumberFormat="1" applyFont="1" applyFill="1" applyBorder="1" applyAlignment="1">
      <alignment horizontal="right" vertical="center" wrapText="1"/>
    </xf>
    <xf numFmtId="0" fontId="5" fillId="29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Alignment="1">
      <alignment horizontal="center" vertical="center"/>
    </xf>
    <xf numFmtId="0" fontId="5" fillId="29" borderId="20" xfId="0" applyFont="1" applyFill="1" applyBorder="1" applyAlignment="1">
      <alignment vertical="center"/>
    </xf>
    <xf numFmtId="0" fontId="0" fillId="29" borderId="20" xfId="0" applyFill="1" applyBorder="1" applyAlignment="1">
      <alignment vertical="center"/>
    </xf>
    <xf numFmtId="0" fontId="0" fillId="29" borderId="0" xfId="0" applyFill="1" applyAlignment="1">
      <alignment horizontal="center" vertical="center" wrapText="1"/>
    </xf>
    <xf numFmtId="0" fontId="86" fillId="29" borderId="0" xfId="0" applyFont="1" applyFill="1" applyBorder="1" applyAlignment="1">
      <alignment vertical="center"/>
    </xf>
    <xf numFmtId="3" fontId="5" fillId="29" borderId="3" xfId="0" applyNumberFormat="1" applyFont="1" applyFill="1" applyBorder="1" applyAlignment="1">
      <alignment horizontal="center" vertical="center" wrapText="1"/>
    </xf>
    <xf numFmtId="0" fontId="0" fillId="29" borderId="3" xfId="0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1" fontId="5" fillId="29" borderId="0" xfId="0" applyNumberFormat="1" applyFont="1" applyFill="1" applyBorder="1" applyAlignment="1">
      <alignment horizontal="center" vertical="center" wrapText="1"/>
    </xf>
    <xf numFmtId="171" fontId="5" fillId="29" borderId="0" xfId="0" quotePrefix="1" applyNumberFormat="1" applyFont="1" applyFill="1" applyBorder="1" applyAlignment="1">
      <alignment horizontal="center" vertical="center" wrapText="1"/>
    </xf>
    <xf numFmtId="0" fontId="70" fillId="29" borderId="0" xfId="0" applyFont="1" applyFill="1" applyBorder="1" applyAlignment="1">
      <alignment horizontal="center"/>
    </xf>
  </cellXfs>
  <cellStyles count="356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" xfId="211" builtinId="4"/>
    <cellStyle name="Денежный 2" xfId="212"/>
    <cellStyle name="Денежный 3" xfId="213"/>
    <cellStyle name="Заголовок 1 2" xfId="214"/>
    <cellStyle name="Заголовок 1 3" xfId="215"/>
    <cellStyle name="Заголовок 2 2" xfId="216"/>
    <cellStyle name="Заголовок 2 3" xfId="217"/>
    <cellStyle name="Заголовок 3 2" xfId="218"/>
    <cellStyle name="Заголовок 3 3" xfId="219"/>
    <cellStyle name="Заголовок 4 2" xfId="220"/>
    <cellStyle name="Заголовок 4 3" xfId="221"/>
    <cellStyle name="Итог 2" xfId="222"/>
    <cellStyle name="Итог 3" xfId="223"/>
    <cellStyle name="Контрольная ячейка 2" xfId="224"/>
    <cellStyle name="Контрольная ячейка 3" xfId="225"/>
    <cellStyle name="Название 2" xfId="226"/>
    <cellStyle name="Название 3" xfId="227"/>
    <cellStyle name="Нейтральный 2" xfId="228"/>
    <cellStyle name="Нейтральный 3" xfId="229"/>
    <cellStyle name="Обычный" xfId="0" builtinId="0"/>
    <cellStyle name="Обычный 10" xfId="230"/>
    <cellStyle name="Обычный 11" xfId="231"/>
    <cellStyle name="Обычный 12" xfId="232"/>
    <cellStyle name="Обычный 13" xfId="233"/>
    <cellStyle name="Обычный 14" xfId="234"/>
    <cellStyle name="Обычный 15" xfId="235"/>
    <cellStyle name="Обычный 16" xfId="236"/>
    <cellStyle name="Обычный 17" xfId="237"/>
    <cellStyle name="Обычный 18" xfId="238"/>
    <cellStyle name="Обычный 19" xfId="239"/>
    <cellStyle name="Обычный 2" xfId="240"/>
    <cellStyle name="Обычный 2 10" xfId="241"/>
    <cellStyle name="Обычный 2 11" xfId="242"/>
    <cellStyle name="Обычный 2 12" xfId="243"/>
    <cellStyle name="Обычный 2 13" xfId="244"/>
    <cellStyle name="Обычный 2 14" xfId="245"/>
    <cellStyle name="Обычный 2 15" xfId="246"/>
    <cellStyle name="Обычный 2 16" xfId="247"/>
    <cellStyle name="Обычный 2 2" xfId="248"/>
    <cellStyle name="Обычный 2 2 2" xfId="249"/>
    <cellStyle name="Обычный 2 2 3" xfId="250"/>
    <cellStyle name="Обычный 2 2_Расшифровка прочих" xfId="251"/>
    <cellStyle name="Обычный 2 3" xfId="252"/>
    <cellStyle name="Обычный 2 4" xfId="253"/>
    <cellStyle name="Обычный 2 5" xfId="254"/>
    <cellStyle name="Обычный 2 6" xfId="255"/>
    <cellStyle name="Обычный 2 7" xfId="256"/>
    <cellStyle name="Обычный 2 8" xfId="257"/>
    <cellStyle name="Обычный 2 9" xfId="258"/>
    <cellStyle name="Обычный 2_2604-2010" xfId="259"/>
    <cellStyle name="Обычный 3" xfId="260"/>
    <cellStyle name="Обычный 3 10" xfId="261"/>
    <cellStyle name="Обычный 3 11" xfId="262"/>
    <cellStyle name="Обычный 3 12" xfId="263"/>
    <cellStyle name="Обычный 3 13" xfId="264"/>
    <cellStyle name="Обычный 3 14" xfId="265"/>
    <cellStyle name="Обычный 3 2" xfId="266"/>
    <cellStyle name="Обычный 3 3" xfId="267"/>
    <cellStyle name="Обычный 3 4" xfId="268"/>
    <cellStyle name="Обычный 3 5" xfId="269"/>
    <cellStyle name="Обычный 3 6" xfId="270"/>
    <cellStyle name="Обычный 3 7" xfId="271"/>
    <cellStyle name="Обычный 3 8" xfId="272"/>
    <cellStyle name="Обычный 3 9" xfId="273"/>
    <cellStyle name="Обычный 3_Дефицит_7 млрд_0608_бс" xfId="274"/>
    <cellStyle name="Обычный 4" xfId="275"/>
    <cellStyle name="Обычный 5" xfId="276"/>
    <cellStyle name="Обычный 5 2" xfId="277"/>
    <cellStyle name="Обычный 6" xfId="278"/>
    <cellStyle name="Обычный 6 2" xfId="279"/>
    <cellStyle name="Обычный 6 3" xfId="280"/>
    <cellStyle name="Обычный 6 4" xfId="281"/>
    <cellStyle name="Обычный 6_Дефицит_7 млрд_0608_бс" xfId="282"/>
    <cellStyle name="Обычный 7" xfId="283"/>
    <cellStyle name="Обычный 7 2" xfId="284"/>
    <cellStyle name="Обычный 8" xfId="285"/>
    <cellStyle name="Обычный 9" xfId="286"/>
    <cellStyle name="Обычный 9 2" xfId="287"/>
    <cellStyle name="Плохой 2" xfId="288"/>
    <cellStyle name="Плохой 3" xfId="289"/>
    <cellStyle name="Пояснение 2" xfId="290"/>
    <cellStyle name="Пояснение 3" xfId="291"/>
    <cellStyle name="Примечание 2" xfId="292"/>
    <cellStyle name="Примечание 3" xfId="293"/>
    <cellStyle name="Процентный 2" xfId="294"/>
    <cellStyle name="Процентный 2 10" xfId="295"/>
    <cellStyle name="Процентный 2 11" xfId="296"/>
    <cellStyle name="Процентный 2 12" xfId="297"/>
    <cellStyle name="Процентный 2 13" xfId="298"/>
    <cellStyle name="Процентный 2 14" xfId="299"/>
    <cellStyle name="Процентный 2 15" xfId="300"/>
    <cellStyle name="Процентный 2 16" xfId="301"/>
    <cellStyle name="Процентный 2 2" xfId="302"/>
    <cellStyle name="Процентный 2 3" xfId="303"/>
    <cellStyle name="Процентный 2 4" xfId="304"/>
    <cellStyle name="Процентный 2 5" xfId="305"/>
    <cellStyle name="Процентный 2 6" xfId="306"/>
    <cellStyle name="Процентный 2 7" xfId="307"/>
    <cellStyle name="Процентный 2 8" xfId="308"/>
    <cellStyle name="Процентный 2 9" xfId="309"/>
    <cellStyle name="Процентный 3" xfId="310"/>
    <cellStyle name="Процентный 4" xfId="311"/>
    <cellStyle name="Процентный 4 2" xfId="312"/>
    <cellStyle name="Связанная ячейка 2" xfId="313"/>
    <cellStyle name="Связанная ячейка 3" xfId="314"/>
    <cellStyle name="Стиль 1" xfId="315"/>
    <cellStyle name="Стиль 1 2" xfId="316"/>
    <cellStyle name="Стиль 1 3" xfId="317"/>
    <cellStyle name="Стиль 1 4" xfId="318"/>
    <cellStyle name="Стиль 1 5" xfId="319"/>
    <cellStyle name="Стиль 1 6" xfId="320"/>
    <cellStyle name="Стиль 1 7" xfId="321"/>
    <cellStyle name="Текст предупреждения 2" xfId="322"/>
    <cellStyle name="Текст предупреждения 3" xfId="323"/>
    <cellStyle name="Тысячи [0]_1.62" xfId="324"/>
    <cellStyle name="Тысячи_1.62" xfId="325"/>
    <cellStyle name="Финансовый 2" xfId="326"/>
    <cellStyle name="Финансовый 2 10" xfId="327"/>
    <cellStyle name="Финансовый 2 11" xfId="328"/>
    <cellStyle name="Финансовый 2 12" xfId="329"/>
    <cellStyle name="Финансовый 2 13" xfId="330"/>
    <cellStyle name="Финансовый 2 14" xfId="331"/>
    <cellStyle name="Финансовый 2 15" xfId="332"/>
    <cellStyle name="Финансовый 2 16" xfId="333"/>
    <cellStyle name="Финансовый 2 17" xfId="334"/>
    <cellStyle name="Финансовый 2 2" xfId="335"/>
    <cellStyle name="Финансовый 2 3" xfId="336"/>
    <cellStyle name="Финансовый 2 4" xfId="337"/>
    <cellStyle name="Финансовый 2 5" xfId="338"/>
    <cellStyle name="Финансовый 2 6" xfId="339"/>
    <cellStyle name="Финансовый 2 7" xfId="340"/>
    <cellStyle name="Финансовый 2 8" xfId="341"/>
    <cellStyle name="Финансовый 2 9" xfId="342"/>
    <cellStyle name="Финансовый 3" xfId="343"/>
    <cellStyle name="Финансовый 3 2" xfId="344"/>
    <cellStyle name="Финансовый 4" xfId="345"/>
    <cellStyle name="Финансовый 4 2" xfId="346"/>
    <cellStyle name="Финансовый 4 3" xfId="347"/>
    <cellStyle name="Финансовый 5" xfId="348"/>
    <cellStyle name="Финансовый 6" xfId="349"/>
    <cellStyle name="Финансовый 7" xfId="350"/>
    <cellStyle name="Хороший 2" xfId="351"/>
    <cellStyle name="Хороший 3" xfId="352"/>
    <cellStyle name="числовой" xfId="353"/>
    <cellStyle name="Ю" xfId="354"/>
    <cellStyle name="Ю-FreeSet_10" xfId="3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DP-PC9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21"/>
  <sheetViews>
    <sheetView tabSelected="1" view="pageBreakPreview" zoomScale="90" zoomScaleNormal="60" zoomScaleSheetLayoutView="90" workbookViewId="0">
      <selection activeCell="A7" sqref="A7:J7"/>
    </sheetView>
  </sheetViews>
  <sheetFormatPr defaultColWidth="9.140625" defaultRowHeight="18.75" outlineLevelRow="1"/>
  <cols>
    <col min="1" max="1" width="69.28515625" style="3" customWidth="1"/>
    <col min="2" max="2" width="9.7109375" style="21" customWidth="1"/>
    <col min="3" max="5" width="18" style="21" customWidth="1"/>
    <col min="6" max="9" width="16.7109375" style="3" customWidth="1"/>
    <col min="10" max="10" width="16.85546875" style="3" customWidth="1"/>
    <col min="11" max="11" width="10" style="3" customWidth="1"/>
    <col min="12" max="16384" width="9.140625" style="3"/>
  </cols>
  <sheetData>
    <row r="1" spans="1:10" ht="20.100000000000001" customHeight="1">
      <c r="B1" s="3"/>
      <c r="C1" s="3"/>
      <c r="D1" s="3"/>
      <c r="E1" s="3"/>
    </row>
    <row r="2" spans="1:10" ht="20.100000000000001" hidden="1" customHeight="1" outlineLevel="1">
      <c r="B2" s="3"/>
      <c r="C2" s="3"/>
      <c r="D2" s="3"/>
      <c r="E2" s="3"/>
    </row>
    <row r="3" spans="1:10" ht="20.100000000000001" hidden="1" customHeight="1" outlineLevel="1">
      <c r="B3" s="3"/>
      <c r="C3" s="3"/>
      <c r="D3" s="3"/>
      <c r="E3" s="3"/>
    </row>
    <row r="4" spans="1:10" ht="20.100000000000001" hidden="1" customHeight="1" outlineLevel="1">
      <c r="B4" s="3"/>
      <c r="C4" s="3"/>
      <c r="D4" s="3"/>
      <c r="E4" s="3"/>
    </row>
    <row r="5" spans="1:10" ht="19.7" hidden="1" customHeight="1" outlineLevel="1">
      <c r="A5" s="51"/>
      <c r="B5" s="3"/>
    </row>
    <row r="6" spans="1:10" collapsed="1">
      <c r="A6" s="403" t="s">
        <v>254</v>
      </c>
      <c r="B6" s="403"/>
      <c r="C6" s="403"/>
      <c r="D6" s="403"/>
      <c r="E6" s="403"/>
      <c r="F6" s="403"/>
      <c r="G6" s="403"/>
      <c r="H6" s="403"/>
      <c r="I6" s="403"/>
      <c r="J6" s="403"/>
    </row>
    <row r="7" spans="1:10">
      <c r="A7" s="404" t="s">
        <v>408</v>
      </c>
      <c r="B7" s="404"/>
      <c r="C7" s="404"/>
      <c r="D7" s="404"/>
      <c r="E7" s="404"/>
      <c r="F7" s="404"/>
      <c r="G7" s="404"/>
      <c r="H7" s="404"/>
      <c r="I7" s="404"/>
      <c r="J7" s="404"/>
    </row>
    <row r="8" spans="1:10">
      <c r="A8" s="403" t="s">
        <v>421</v>
      </c>
      <c r="B8" s="403"/>
      <c r="C8" s="403"/>
      <c r="D8" s="403"/>
      <c r="E8" s="403"/>
      <c r="F8" s="403"/>
      <c r="G8" s="403"/>
      <c r="H8" s="403"/>
      <c r="I8" s="403"/>
      <c r="J8" s="403"/>
    </row>
    <row r="9" spans="1:10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.75" customHeight="1">
      <c r="A10" s="403" t="s">
        <v>171</v>
      </c>
      <c r="B10" s="403"/>
      <c r="C10" s="403"/>
      <c r="D10" s="403"/>
      <c r="E10" s="403"/>
      <c r="F10" s="403"/>
      <c r="G10" s="403"/>
      <c r="H10" s="403"/>
      <c r="I10" s="403"/>
      <c r="J10" s="403"/>
    </row>
    <row r="11" spans="1:10" ht="12" customHeight="1">
      <c r="B11" s="23"/>
      <c r="C11" s="4"/>
      <c r="D11" s="4"/>
      <c r="E11" s="4"/>
      <c r="F11" s="23"/>
      <c r="G11" s="23"/>
      <c r="H11" s="23"/>
      <c r="I11" s="23"/>
      <c r="J11" s="23"/>
    </row>
    <row r="12" spans="1:10" ht="31.5" customHeight="1">
      <c r="A12" s="390" t="s">
        <v>197</v>
      </c>
      <c r="B12" s="391" t="s">
        <v>7</v>
      </c>
      <c r="C12" s="398" t="s">
        <v>17</v>
      </c>
      <c r="D12" s="398" t="s">
        <v>288</v>
      </c>
      <c r="E12" s="398" t="s">
        <v>284</v>
      </c>
      <c r="F12" s="391" t="s">
        <v>117</v>
      </c>
      <c r="G12" s="391" t="s">
        <v>285</v>
      </c>
      <c r="H12" s="391"/>
      <c r="I12" s="391"/>
      <c r="J12" s="391"/>
    </row>
    <row r="13" spans="1:10" ht="54.75" customHeight="1">
      <c r="A13" s="390"/>
      <c r="B13" s="391"/>
      <c r="C13" s="399"/>
      <c r="D13" s="402"/>
      <c r="E13" s="402"/>
      <c r="F13" s="391"/>
      <c r="G13" s="15" t="s">
        <v>156</v>
      </c>
      <c r="H13" s="15" t="s">
        <v>157</v>
      </c>
      <c r="I13" s="15" t="s">
        <v>158</v>
      </c>
      <c r="J13" s="15" t="s">
        <v>61</v>
      </c>
    </row>
    <row r="14" spans="1:10" ht="20.100000000000001" customHeight="1">
      <c r="A14" s="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</row>
    <row r="15" spans="1:10" ht="24.95" customHeight="1">
      <c r="A15" s="397" t="s">
        <v>87</v>
      </c>
      <c r="B15" s="397"/>
      <c r="C15" s="397"/>
      <c r="D15" s="397"/>
      <c r="E15" s="397"/>
      <c r="F15" s="397"/>
      <c r="G15" s="397"/>
      <c r="H15" s="397"/>
      <c r="I15" s="397"/>
      <c r="J15" s="397"/>
    </row>
    <row r="16" spans="1:10" ht="20.100000000000001" customHeight="1">
      <c r="A16" s="57" t="s">
        <v>172</v>
      </c>
      <c r="B16" s="6">
        <f>'1.Фінансовий результат'!B33</f>
        <v>1040</v>
      </c>
      <c r="C16" s="12">
        <f>'1.Фінансовий результат'!C33</f>
        <v>41668.800000000003</v>
      </c>
      <c r="D16" s="12">
        <f>'1.Фінансовий результат'!D33</f>
        <v>55832.999999999993</v>
      </c>
      <c r="E16" s="12">
        <f>'1.Фінансовий результат'!E33</f>
        <v>61115</v>
      </c>
      <c r="F16" s="12">
        <f>'1.Фінансовий результат'!F33</f>
        <v>75384.899999999994</v>
      </c>
      <c r="G16" s="12">
        <f>'1.Фінансовий результат'!G33</f>
        <v>18551.5</v>
      </c>
      <c r="H16" s="12">
        <f>'1.Фінансовий результат'!H33</f>
        <v>19507.8</v>
      </c>
      <c r="I16" s="12">
        <f>'1.Фінансовий результат'!I33</f>
        <v>18388.599999999999</v>
      </c>
      <c r="J16" s="12">
        <f>'1.Фінансовий результат'!J33</f>
        <v>18937</v>
      </c>
    </row>
    <row r="17" spans="1:10" ht="20.100000000000001" customHeight="1">
      <c r="A17" s="57" t="s">
        <v>144</v>
      </c>
      <c r="B17" s="6">
        <f>'1.Фінансовий результат'!B34</f>
        <v>1050</v>
      </c>
      <c r="C17" s="12">
        <f>'1.Фінансовий результат'!C34</f>
        <v>41112.919000000002</v>
      </c>
      <c r="D17" s="12">
        <f>'1.Фінансовий результат'!D34</f>
        <v>53057.5</v>
      </c>
      <c r="E17" s="12">
        <f>'1.Фінансовий результат'!E34</f>
        <v>58135.200000000004</v>
      </c>
      <c r="F17" s="12">
        <f>'1.Фінансовий результат'!F34</f>
        <v>71423.600000000006</v>
      </c>
      <c r="G17" s="12">
        <f>'1.Фінансовий результат'!G34</f>
        <v>17533.100000000002</v>
      </c>
      <c r="H17" s="12">
        <f>'1.Фінансовий результат'!H34</f>
        <v>18436.300000000003</v>
      </c>
      <c r="I17" s="12">
        <f>'1.Фінансовий результат'!I34</f>
        <v>17401.100000000002</v>
      </c>
      <c r="J17" s="12">
        <f>'1.Фінансовий результат'!J34</f>
        <v>18053.099999999999</v>
      </c>
    </row>
    <row r="18" spans="1:10" ht="37.700000000000003" customHeight="1">
      <c r="A18" s="58" t="s">
        <v>208</v>
      </c>
      <c r="B18" s="71">
        <f>'1.Фінансовий результат'!B76</f>
        <v>1060</v>
      </c>
      <c r="C18" s="90">
        <f>'1.Фінансовий результат'!C76</f>
        <v>555.88100000000122</v>
      </c>
      <c r="D18" s="90">
        <f>'1.Фінансовий результат'!D76</f>
        <v>2775.4999999999927</v>
      </c>
      <c r="E18" s="90">
        <f>'1.Фінансовий результат'!E76</f>
        <v>2979.7999999999956</v>
      </c>
      <c r="F18" s="90">
        <f>'1.Фінансовий результат'!F76</f>
        <v>3961.2999999999884</v>
      </c>
      <c r="G18" s="90">
        <f>'1.Фінансовий результат'!G76</f>
        <v>1018.3999999999978</v>
      </c>
      <c r="H18" s="90">
        <f>'1.Фінансовий результат'!H76</f>
        <v>1071.4999999999964</v>
      </c>
      <c r="I18" s="90">
        <f>'1.Фінансовий результат'!I76</f>
        <v>987.49999999999636</v>
      </c>
      <c r="J18" s="90">
        <f>'1.Фінансовий результат'!J76</f>
        <v>883.90000000000146</v>
      </c>
    </row>
    <row r="19" spans="1:10" ht="20.100000000000001" customHeight="1">
      <c r="A19" s="57" t="s">
        <v>255</v>
      </c>
      <c r="B19" s="6">
        <f>'1.Фінансовий результат'!B77</f>
        <v>1070</v>
      </c>
      <c r="C19" s="12">
        <f>'1.Фінансовий результат'!C77</f>
        <v>416.5</v>
      </c>
      <c r="D19" s="12">
        <f>'1.Фінансовий результат'!D77</f>
        <v>16.2</v>
      </c>
      <c r="E19" s="12">
        <f>'1.Фінансовий результат'!E77</f>
        <v>100.3</v>
      </c>
      <c r="F19" s="98" t="s">
        <v>414</v>
      </c>
      <c r="G19" s="12">
        <f>'1.Фінансовий результат'!G77</f>
        <v>6.3</v>
      </c>
      <c r="H19" s="12">
        <f>'1.Фінансовий результат'!H77</f>
        <v>6.3</v>
      </c>
      <c r="I19" s="12">
        <f>'1.Фінансовий результат'!I77</f>
        <v>6.3</v>
      </c>
      <c r="J19" s="12">
        <f>'1.Фінансовий результат'!J77</f>
        <v>6.4</v>
      </c>
    </row>
    <row r="20" spans="1:10" ht="20.100000000000001" customHeight="1">
      <c r="A20" s="57" t="s">
        <v>121</v>
      </c>
      <c r="B20" s="6">
        <f>'1.Фінансовий результат'!B81</f>
        <v>1080</v>
      </c>
      <c r="C20" s="12">
        <f>'1.Фінансовий результат'!C81</f>
        <v>1180</v>
      </c>
      <c r="D20" s="12">
        <f>'1.Фінансовий результат'!D81</f>
        <v>1600</v>
      </c>
      <c r="E20" s="12">
        <f>'1.Фінансовий результат'!E81</f>
        <v>1556.1</v>
      </c>
      <c r="F20" s="12">
        <f>'1.Фінансовий результат'!F81</f>
        <v>1709.8000000000002</v>
      </c>
      <c r="G20" s="12">
        <f>'1.Фінансовий результат'!G81</f>
        <v>469.79999999999995</v>
      </c>
      <c r="H20" s="12">
        <f>'1.Фінансовий результат'!H81</f>
        <v>427.29999999999995</v>
      </c>
      <c r="I20" s="12">
        <f>'1.Фінансовий результат'!I81</f>
        <v>418.1</v>
      </c>
      <c r="J20" s="12">
        <f>'1.Фінансовий результат'!J81</f>
        <v>394.59999999999997</v>
      </c>
    </row>
    <row r="21" spans="1:10" ht="20.100000000000001" customHeight="1">
      <c r="A21" s="57" t="s">
        <v>118</v>
      </c>
      <c r="B21" s="6">
        <f>'1.Фінансовий результат'!B112</f>
        <v>1110</v>
      </c>
      <c r="C21" s="12">
        <f>'1.Фінансовий результат'!C112</f>
        <v>0</v>
      </c>
      <c r="D21" s="12">
        <f>'1.Фінансовий результат'!D112</f>
        <v>0</v>
      </c>
      <c r="E21" s="12">
        <f>'1.Фінансовий результат'!E112</f>
        <v>1517.1</v>
      </c>
      <c r="F21" s="12">
        <f>'1.Фінансовий результат'!F112</f>
        <v>2254</v>
      </c>
      <c r="G21" s="12">
        <f>'1.Фінансовий результат'!G112</f>
        <v>549.20000000000005</v>
      </c>
      <c r="H21" s="12">
        <f>'1.Фінансовий результат'!H112</f>
        <v>644.79999999999995</v>
      </c>
      <c r="I21" s="12">
        <f>'1.Фінансовий результат'!I112</f>
        <v>570</v>
      </c>
      <c r="J21" s="12">
        <f>'1.Фінансовий результат'!J112</f>
        <v>490</v>
      </c>
    </row>
    <row r="22" spans="1:10" ht="20.100000000000001" customHeight="1">
      <c r="A22" s="57" t="s">
        <v>15</v>
      </c>
      <c r="B22" s="6">
        <f>'1.Фінансовий результат'!B121</f>
        <v>1120</v>
      </c>
      <c r="C22" s="12">
        <f>'1.Фінансовий результат'!C121</f>
        <v>0</v>
      </c>
      <c r="D22" s="12">
        <f>'1.Фінансовий результат'!D121</f>
        <v>6.9</v>
      </c>
      <c r="E22" s="12">
        <f>'1.Фінансовий результат'!E121</f>
        <v>6.9</v>
      </c>
      <c r="F22" s="12">
        <f>'1.Фінансовий результат'!F121</f>
        <v>22.8</v>
      </c>
      <c r="G22" s="12">
        <f>'1.Фінансовий результат'!G121</f>
        <v>5.7</v>
      </c>
      <c r="H22" s="12">
        <f>'1.Фінансовий результат'!H121</f>
        <v>5.7</v>
      </c>
      <c r="I22" s="12">
        <f>'1.Фінансовий результат'!I121</f>
        <v>5.7</v>
      </c>
      <c r="J22" s="12">
        <f>'1.Фінансовий результат'!J121</f>
        <v>5.7</v>
      </c>
    </row>
    <row r="23" spans="1:10" ht="38.25" customHeight="1">
      <c r="A23" s="83" t="s">
        <v>259</v>
      </c>
      <c r="B23" s="84">
        <f>'1.Фінансовий результат'!B138</f>
        <v>1130</v>
      </c>
      <c r="C23" s="91">
        <f>'1.Фінансовий результат'!C138</f>
        <v>-207.61899999999878</v>
      </c>
      <c r="D23" s="91">
        <f>'1.Фінансовий результат'!D138</f>
        <v>1184.7999999999925</v>
      </c>
      <c r="E23" s="91">
        <f>'1.Фінансовий результат'!E138</f>
        <v>-4.0021319591687643E-12</v>
      </c>
      <c r="F23" s="91">
        <f>'1.Фінансовий результат'!F138</f>
        <v>-1.1642242725429242E-11</v>
      </c>
      <c r="G23" s="91">
        <f>'1.Фінансовий результат'!G138</f>
        <v>-2.2284396550276142E-12</v>
      </c>
      <c r="H23" s="91">
        <f>'1.Фінансовий результат'!H138</f>
        <v>-3.5926817076870066E-12</v>
      </c>
      <c r="I23" s="91">
        <f>'1.Фінансовий результат'!I138</f>
        <v>-3.7063685454086226E-12</v>
      </c>
      <c r="J23" s="91">
        <f>'1.Фінансовий результат'!J138</f>
        <v>1.4663825709249068E-12</v>
      </c>
    </row>
    <row r="24" spans="1:10" ht="20.100000000000001" customHeight="1">
      <c r="A24" s="52" t="s">
        <v>267</v>
      </c>
      <c r="B24" s="6">
        <f>'1.Фінансовий результат'!B139</f>
        <v>1140</v>
      </c>
      <c r="C24" s="12">
        <f>'1.Фінансовий результат'!C139</f>
        <v>0</v>
      </c>
      <c r="D24" s="12">
        <f>'1.Фінансовий результат'!D139</f>
        <v>0</v>
      </c>
      <c r="E24" s="12">
        <f>'1.Фінансовий результат'!E139</f>
        <v>0</v>
      </c>
      <c r="F24" s="12">
        <f>'1.Фінансовий результат'!F139</f>
        <v>0</v>
      </c>
      <c r="G24" s="12">
        <f>'1.Фінансовий результат'!G139</f>
        <v>0</v>
      </c>
      <c r="H24" s="12">
        <f>'1.Фінансовий результат'!H139</f>
        <v>0</v>
      </c>
      <c r="I24" s="12">
        <f>'1.Фінансовий результат'!I139</f>
        <v>0</v>
      </c>
      <c r="J24" s="12">
        <f>'1.Фінансовий результат'!J139</f>
        <v>0</v>
      </c>
    </row>
    <row r="25" spans="1:10" ht="20.100000000000001" customHeight="1">
      <c r="A25" s="52" t="s">
        <v>268</v>
      </c>
      <c r="B25" s="6">
        <f>'1.Фінансовий результат'!B140</f>
        <v>1150</v>
      </c>
      <c r="C25" s="12">
        <f>'1.Фінансовий результат'!C140</f>
        <v>0</v>
      </c>
      <c r="D25" s="12">
        <f>'1.Фінансовий результат'!D140</f>
        <v>0</v>
      </c>
      <c r="E25" s="12">
        <f>'1.Фінансовий результат'!E140</f>
        <v>0</v>
      </c>
      <c r="F25" s="12">
        <f>'1.Фінансовий результат'!F140</f>
        <v>0</v>
      </c>
      <c r="G25" s="12">
        <f>'1.Фінансовий результат'!G140</f>
        <v>0</v>
      </c>
      <c r="H25" s="12">
        <f>'1.Фінансовий результат'!H140</f>
        <v>0</v>
      </c>
      <c r="I25" s="12">
        <f>'1.Фінансовий результат'!I140</f>
        <v>0</v>
      </c>
      <c r="J25" s="12">
        <f>'1.Фінансовий результат'!J140</f>
        <v>0</v>
      </c>
    </row>
    <row r="26" spans="1:10" ht="20.100000000000001" customHeight="1">
      <c r="A26" s="57" t="s">
        <v>256</v>
      </c>
      <c r="B26" s="6">
        <f>'1.Фінансовий результат'!B141</f>
        <v>1160</v>
      </c>
      <c r="C26" s="12">
        <f>'1.Фінансовий результат'!C141</f>
        <v>0</v>
      </c>
      <c r="D26" s="12">
        <f>'1.Фінансовий результат'!D141</f>
        <v>0</v>
      </c>
      <c r="E26" s="12">
        <f>'1.Фінансовий результат'!E141</f>
        <v>0</v>
      </c>
      <c r="F26" s="12">
        <f>'1.Фінансовий результат'!F141</f>
        <v>0</v>
      </c>
      <c r="G26" s="12">
        <f>'1.Фінансовий результат'!G141</f>
        <v>0</v>
      </c>
      <c r="H26" s="12">
        <f>'1.Фінансовий результат'!H141</f>
        <v>0</v>
      </c>
      <c r="I26" s="12">
        <f>'1.Фінансовий результат'!I141</f>
        <v>0</v>
      </c>
      <c r="J26" s="12">
        <f>'1.Фінансовий результат'!J141</f>
        <v>0</v>
      </c>
    </row>
    <row r="27" spans="1:10" ht="20.100000000000001" customHeight="1">
      <c r="A27" s="57" t="s">
        <v>257</v>
      </c>
      <c r="B27" s="6">
        <f>'1.Фінансовий результат'!B142</f>
        <v>1170</v>
      </c>
      <c r="C27" s="12">
        <f>'1.Фінансовий результат'!C142</f>
        <v>0</v>
      </c>
      <c r="D27" s="12">
        <f>'1.Фінансовий результат'!D142</f>
        <v>0</v>
      </c>
      <c r="E27" s="12">
        <f>'1.Фінансовий результат'!E142</f>
        <v>0</v>
      </c>
      <c r="F27" s="12">
        <f>'1.Фінансовий результат'!F142</f>
        <v>0</v>
      </c>
      <c r="G27" s="12">
        <f>'1.Фінансовий результат'!G142</f>
        <v>0</v>
      </c>
      <c r="H27" s="12">
        <f>'1.Фінансовий результат'!H142</f>
        <v>0</v>
      </c>
      <c r="I27" s="12">
        <f>'1.Фінансовий результат'!I142</f>
        <v>0</v>
      </c>
      <c r="J27" s="12">
        <f>'1.Фінансовий результат'!J142</f>
        <v>0</v>
      </c>
    </row>
    <row r="28" spans="1:10" ht="43.5" customHeight="1">
      <c r="A28" s="59" t="s">
        <v>261</v>
      </c>
      <c r="B28" s="71">
        <f>'1.Фінансовий результат'!B143</f>
        <v>1200</v>
      </c>
      <c r="C28" s="90">
        <f>'1.Фінансовий результат'!C143</f>
        <v>-207.61899999999878</v>
      </c>
      <c r="D28" s="90">
        <f>'1.Фінансовий результат'!D143</f>
        <v>1184.7999999999925</v>
      </c>
      <c r="E28" s="90">
        <f>'1.Фінансовий результат'!E143</f>
        <v>-4.0021319591687643E-12</v>
      </c>
      <c r="F28" s="90">
        <f>'1.Фінансовий результат'!F143</f>
        <v>-1.1642242725429242E-11</v>
      </c>
      <c r="G28" s="90">
        <f>'1.Фінансовий результат'!G143</f>
        <v>-2.2284396550276142E-12</v>
      </c>
      <c r="H28" s="90">
        <f>'1.Фінансовий результат'!H143</f>
        <v>-3.5926817076870066E-12</v>
      </c>
      <c r="I28" s="90">
        <f>'1.Фінансовий результат'!I143</f>
        <v>-3.7063685454086226E-12</v>
      </c>
      <c r="J28" s="90">
        <f>'1.Фінансовий результат'!J143</f>
        <v>1.4663825709249068E-12</v>
      </c>
    </row>
    <row r="29" spans="1:10" ht="20.100000000000001" customHeight="1">
      <c r="A29" s="11" t="s">
        <v>119</v>
      </c>
      <c r="B29" s="6">
        <f>'1.Фінансовий результат'!B144</f>
        <v>1210</v>
      </c>
      <c r="C29" s="12">
        <f>'1.Фінансовий результат'!C144</f>
        <v>0</v>
      </c>
      <c r="D29" s="12">
        <f>'1.Фінансовий результат'!D144</f>
        <v>0</v>
      </c>
      <c r="E29" s="12">
        <f>'1.Фінансовий результат'!E144</f>
        <v>0</v>
      </c>
      <c r="F29" s="12">
        <f>'1.Фінансовий результат'!F144</f>
        <v>0</v>
      </c>
      <c r="G29" s="12">
        <f>'1.Фінансовий результат'!G144</f>
        <v>0</v>
      </c>
      <c r="H29" s="12">
        <f>'1.Фінансовий результат'!H144</f>
        <v>0</v>
      </c>
      <c r="I29" s="12">
        <f>'1.Фінансовий результат'!I144</f>
        <v>0</v>
      </c>
      <c r="J29" s="12">
        <f>'1.Фінансовий результат'!J144</f>
        <v>0</v>
      </c>
    </row>
    <row r="30" spans="1:10" ht="35.25" customHeight="1">
      <c r="A30" s="83" t="s">
        <v>262</v>
      </c>
      <c r="B30" s="84">
        <f>'1.Фінансовий результат'!B146</f>
        <v>1230</v>
      </c>
      <c r="C30" s="91">
        <f>'1.Фінансовий результат'!C146</f>
        <v>-207.61899999999878</v>
      </c>
      <c r="D30" s="91">
        <f>'1.Фінансовий результат'!D146</f>
        <v>1184.7999999999925</v>
      </c>
      <c r="E30" s="91">
        <f>'1.Фінансовий результат'!E146</f>
        <v>-4.0021319591687643E-12</v>
      </c>
      <c r="F30" s="91">
        <f>'1.Фінансовий результат'!F146</f>
        <v>-1.1642242725429242E-11</v>
      </c>
      <c r="G30" s="91">
        <f>'1.Фінансовий результат'!G146</f>
        <v>-2.2284396550276142E-12</v>
      </c>
      <c r="H30" s="91">
        <f>'1.Фінансовий результат'!H146</f>
        <v>-3.5926817076870066E-12</v>
      </c>
      <c r="I30" s="91">
        <f>'1.Фінансовий результат'!I146</f>
        <v>-3.7063685454086226E-12</v>
      </c>
      <c r="J30" s="91">
        <f>'1.Фінансовий результат'!J146</f>
        <v>1.4663825709249068E-12</v>
      </c>
    </row>
    <row r="31" spans="1:10" ht="24.95" customHeight="1">
      <c r="A31" s="400" t="s">
        <v>130</v>
      </c>
      <c r="B31" s="400"/>
      <c r="C31" s="400"/>
      <c r="D31" s="400"/>
      <c r="E31" s="400"/>
      <c r="F31" s="400"/>
      <c r="G31" s="400"/>
      <c r="H31" s="400"/>
      <c r="I31" s="400"/>
      <c r="J31" s="400"/>
    </row>
    <row r="32" spans="1:10" ht="20.100000000000001" customHeight="1">
      <c r="A32" s="56" t="s">
        <v>198</v>
      </c>
      <c r="B32" s="6">
        <f>'2. Розрахунки з бюджетом'!B20</f>
        <v>2100</v>
      </c>
      <c r="C32" s="12">
        <f>'2. Розрахунки з бюджетом'!C20</f>
        <v>0</v>
      </c>
      <c r="D32" s="12">
        <f>'2. Розрахунки з бюджетом'!D20</f>
        <v>0</v>
      </c>
      <c r="E32" s="12">
        <f>'2. Розрахунки з бюджетом'!E20</f>
        <v>0</v>
      </c>
      <c r="F32" s="12">
        <f>'2. Розрахунки з бюджетом'!F20</f>
        <v>0</v>
      </c>
      <c r="G32" s="12">
        <f>'2. Розрахунки з бюджетом'!G20</f>
        <v>0</v>
      </c>
      <c r="H32" s="12">
        <f>'2. Розрахунки з бюджетом'!H20</f>
        <v>0</v>
      </c>
      <c r="I32" s="12">
        <f>'2. Розрахунки з бюджетом'!I20</f>
        <v>0</v>
      </c>
      <c r="J32" s="12">
        <f>'2. Розрахунки з бюджетом'!J20</f>
        <v>0</v>
      </c>
    </row>
    <row r="33" spans="1:10" ht="20.100000000000001" customHeight="1">
      <c r="A33" s="33" t="s">
        <v>129</v>
      </c>
      <c r="B33" s="6">
        <f>'2. Розрахунки з бюджетом'!B21</f>
        <v>2110</v>
      </c>
      <c r="C33" s="12">
        <f>'2. Розрахунки з бюджетом'!C21</f>
        <v>0</v>
      </c>
      <c r="D33" s="12">
        <f>'2. Розрахунки з бюджетом'!D21</f>
        <v>0</v>
      </c>
      <c r="E33" s="12">
        <f>'2. Розрахунки з бюджетом'!E21</f>
        <v>0</v>
      </c>
      <c r="F33" s="12">
        <f>'2. Розрахунки з бюджетом'!F21</f>
        <v>0</v>
      </c>
      <c r="G33" s="12">
        <f>'2. Розрахунки з бюджетом'!G21</f>
        <v>0</v>
      </c>
      <c r="H33" s="12">
        <f>'2. Розрахунки з бюджетом'!H21</f>
        <v>0</v>
      </c>
      <c r="I33" s="12">
        <f>'2. Розрахунки з бюджетом'!I21</f>
        <v>0</v>
      </c>
      <c r="J33" s="12">
        <f>'2. Розрахунки з бюджетом'!J21</f>
        <v>0</v>
      </c>
    </row>
    <row r="34" spans="1:10" ht="40.5" customHeight="1">
      <c r="A34" s="33" t="s">
        <v>229</v>
      </c>
      <c r="B34" s="6">
        <f>'2. Розрахунки з бюджетом'!B22</f>
        <v>2120</v>
      </c>
      <c r="C34" s="12">
        <f>'2. Розрахунки з бюджетом'!C22</f>
        <v>0</v>
      </c>
      <c r="D34" s="12">
        <f>'2. Розрахунки з бюджетом'!D22</f>
        <v>0</v>
      </c>
      <c r="E34" s="12">
        <f>'2. Розрахунки з бюджетом'!E22</f>
        <v>0</v>
      </c>
      <c r="F34" s="12">
        <f>'2. Розрахунки з бюджетом'!F22</f>
        <v>0</v>
      </c>
      <c r="G34" s="12">
        <f>'2. Розрахунки з бюджетом'!G22</f>
        <v>0</v>
      </c>
      <c r="H34" s="12">
        <f>'2. Розрахунки з бюджетом'!H22</f>
        <v>0</v>
      </c>
      <c r="I34" s="12">
        <f>'2. Розрахунки з бюджетом'!I22</f>
        <v>0</v>
      </c>
      <c r="J34" s="12">
        <f>'2. Розрахунки з бюджетом'!J22</f>
        <v>0</v>
      </c>
    </row>
    <row r="35" spans="1:10" ht="39.75" customHeight="1">
      <c r="A35" s="33" t="s">
        <v>230</v>
      </c>
      <c r="B35" s="6">
        <f>'2. Розрахунки з бюджетом'!B23</f>
        <v>2130</v>
      </c>
      <c r="C35" s="12">
        <f>'2. Розрахунки з бюджетом'!C23</f>
        <v>0</v>
      </c>
      <c r="D35" s="12">
        <f>'2. Розрахунки з бюджетом'!D23</f>
        <v>0</v>
      </c>
      <c r="E35" s="12">
        <f>'2. Розрахунки з бюджетом'!E23</f>
        <v>0</v>
      </c>
      <c r="F35" s="12">
        <f>'2. Розрахунки з бюджетом'!F23</f>
        <v>0</v>
      </c>
      <c r="G35" s="12">
        <f>'2. Розрахунки з бюджетом'!G23</f>
        <v>0</v>
      </c>
      <c r="H35" s="12">
        <f>'2. Розрахунки з бюджетом'!H23</f>
        <v>0</v>
      </c>
      <c r="I35" s="12">
        <f>'2. Розрахунки з бюджетом'!I23</f>
        <v>0</v>
      </c>
      <c r="J35" s="12">
        <f>'2. Розрахунки з бюджетом'!J23</f>
        <v>0</v>
      </c>
    </row>
    <row r="36" spans="1:10" ht="42.75" customHeight="1">
      <c r="A36" s="56" t="s">
        <v>190</v>
      </c>
      <c r="B36" s="6">
        <f>'2. Розрахунки з бюджетом'!B24</f>
        <v>2140</v>
      </c>
      <c r="C36" s="12">
        <f>'2. Розрахунки з бюджетом'!C24</f>
        <v>4892.2</v>
      </c>
      <c r="D36" s="12">
        <f>'2. Розрахунки з бюджетом'!D24</f>
        <v>6464</v>
      </c>
      <c r="E36" s="12">
        <f>'2. Розрахунки з бюджетом'!E24</f>
        <v>7660</v>
      </c>
      <c r="F36" s="12">
        <f>'2. Розрахунки з бюджетом'!F24</f>
        <v>8120</v>
      </c>
      <c r="G36" s="12">
        <f>'2. Розрахунки з бюджетом'!G24</f>
        <v>1960</v>
      </c>
      <c r="H36" s="12">
        <f>'2. Розрахунки з бюджетом'!H24</f>
        <v>2100</v>
      </c>
      <c r="I36" s="12">
        <f>'2. Розрахунки з бюджетом'!I24</f>
        <v>2100</v>
      </c>
      <c r="J36" s="12">
        <f>'2. Розрахунки з бюджетом'!J24</f>
        <v>1960</v>
      </c>
    </row>
    <row r="37" spans="1:10" ht="39" customHeight="1">
      <c r="A37" s="56" t="s">
        <v>74</v>
      </c>
      <c r="B37" s="6">
        <f>'2. Розрахунки з бюджетом'!B34</f>
        <v>2150</v>
      </c>
      <c r="C37" s="12">
        <f>'2. Розрахунки з бюджетом'!C34</f>
        <v>5279.6</v>
      </c>
      <c r="D37" s="12">
        <f>'2. Розрахунки з бюджетом'!D34</f>
        <v>7096</v>
      </c>
      <c r="E37" s="12">
        <f>'2. Розрахунки з бюджетом'!E34</f>
        <v>7757.2</v>
      </c>
      <c r="F37" s="12">
        <f>'2. Розрахунки з бюджетом'!F34</f>
        <v>9573.9</v>
      </c>
      <c r="G37" s="12">
        <f>'2. Розрахунки з бюджетом'!G34</f>
        <v>2291.3000000000002</v>
      </c>
      <c r="H37" s="12">
        <f>'2. Розрахунки з бюджетом'!H34</f>
        <v>2427.6</v>
      </c>
      <c r="I37" s="12">
        <f>'2. Розрахунки з бюджетом'!I34</f>
        <v>2427.5</v>
      </c>
      <c r="J37" s="12">
        <f>'2. Розрахунки з бюджетом'!J34</f>
        <v>2427.5</v>
      </c>
    </row>
    <row r="38" spans="1:10" ht="20.100000000000001" customHeight="1">
      <c r="A38" s="55" t="s">
        <v>199</v>
      </c>
      <c r="B38" s="71">
        <f>'2. Розрахунки з бюджетом'!B35</f>
        <v>2200</v>
      </c>
      <c r="C38" s="90">
        <f>'2. Розрахунки з бюджетом'!C35</f>
        <v>10171.799999999999</v>
      </c>
      <c r="D38" s="90">
        <f>'2. Розрахунки з бюджетом'!D35</f>
        <v>13560</v>
      </c>
      <c r="E38" s="90">
        <f>'2. Розрахунки з бюджетом'!E35</f>
        <v>15417.2</v>
      </c>
      <c r="F38" s="90">
        <f>'2. Розрахунки з бюджетом'!F35</f>
        <v>17693.900000000001</v>
      </c>
      <c r="G38" s="90">
        <f>'2. Розрахунки з бюджетом'!G35</f>
        <v>4251.3</v>
      </c>
      <c r="H38" s="90">
        <f>'2. Розрахунки з бюджетом'!H35</f>
        <v>4527.6000000000004</v>
      </c>
      <c r="I38" s="90">
        <f>'2. Розрахунки з бюджетом'!I35</f>
        <v>4527.5</v>
      </c>
      <c r="J38" s="90">
        <f>'2. Розрахунки з бюджетом'!J35</f>
        <v>4387.5</v>
      </c>
    </row>
    <row r="39" spans="1:10" ht="24.95" customHeight="1">
      <c r="A39" s="400" t="s">
        <v>128</v>
      </c>
      <c r="B39" s="400"/>
      <c r="C39" s="400"/>
      <c r="D39" s="400"/>
      <c r="E39" s="400"/>
      <c r="F39" s="400"/>
      <c r="G39" s="400"/>
      <c r="H39" s="400"/>
      <c r="I39" s="400"/>
      <c r="J39" s="400"/>
    </row>
    <row r="40" spans="1:10" ht="20.100000000000001" customHeight="1">
      <c r="A40" s="55" t="s">
        <v>122</v>
      </c>
      <c r="B40" s="71">
        <f>'3. Рух грошових коштів'!B65</f>
        <v>3600</v>
      </c>
      <c r="C40" s="90">
        <f>'3. Рух грошових коштів'!C65</f>
        <v>0</v>
      </c>
      <c r="D40" s="90">
        <f>'3. Рух грошових коштів'!D65</f>
        <v>0</v>
      </c>
      <c r="E40" s="90">
        <f>'3. Рух грошових коштів'!E65</f>
        <v>0</v>
      </c>
      <c r="F40" s="90">
        <f>'3. Рух грошових коштів'!F65</f>
        <v>0</v>
      </c>
      <c r="G40" s="90">
        <f>'3. Рух грошових коштів'!G65</f>
        <v>0</v>
      </c>
      <c r="H40" s="90">
        <f>'3. Рух грошових коштів'!H65</f>
        <v>0</v>
      </c>
      <c r="I40" s="90">
        <f>'3. Рух грошових коштів'!I65</f>
        <v>0</v>
      </c>
      <c r="J40" s="90">
        <f>'3. Рух грошових коштів'!J65</f>
        <v>0</v>
      </c>
    </row>
    <row r="41" spans="1:10" ht="20.100000000000001" customHeight="1">
      <c r="A41" s="56" t="s">
        <v>123</v>
      </c>
      <c r="B41" s="6">
        <f>'3. Рух грошових коштів'!B20</f>
        <v>3090</v>
      </c>
      <c r="C41" s="12">
        <f>'3. Рух грошових коштів'!C20</f>
        <v>0</v>
      </c>
      <c r="D41" s="12">
        <f>'3. Рух грошових коштів'!D20</f>
        <v>0</v>
      </c>
      <c r="E41" s="12">
        <f>'3. Рух грошових коштів'!E20</f>
        <v>0</v>
      </c>
      <c r="F41" s="12">
        <f>'3. Рух грошових коштів'!F20</f>
        <v>0</v>
      </c>
      <c r="G41" s="12">
        <f>'3. Рух грошових коштів'!G20</f>
        <v>0</v>
      </c>
      <c r="H41" s="12">
        <f>'3. Рух грошових коштів'!H20</f>
        <v>0</v>
      </c>
      <c r="I41" s="12">
        <f>'3. Рух грошових коштів'!I20</f>
        <v>0</v>
      </c>
      <c r="J41" s="12">
        <f>'3. Рух грошових коштів'!J20</f>
        <v>0</v>
      </c>
    </row>
    <row r="42" spans="1:10" ht="20.100000000000001" customHeight="1">
      <c r="A42" s="56" t="s">
        <v>184</v>
      </c>
      <c r="B42" s="6">
        <f>'3. Рух грошових коштів'!B37</f>
        <v>3320</v>
      </c>
      <c r="C42" s="12">
        <f>'3. Рух грошових коштів'!C37</f>
        <v>0</v>
      </c>
      <c r="D42" s="12">
        <f>'3. Рух грошових коштів'!D37</f>
        <v>0</v>
      </c>
      <c r="E42" s="12">
        <f>'3. Рух грошових коштів'!E37</f>
        <v>0</v>
      </c>
      <c r="F42" s="12">
        <f>'3. Рух грошових коштів'!F37</f>
        <v>0</v>
      </c>
      <c r="G42" s="12">
        <f>'3. Рух грошових коштів'!G37</f>
        <v>0</v>
      </c>
      <c r="H42" s="12">
        <f>'3. Рух грошових коштів'!H37</f>
        <v>0</v>
      </c>
      <c r="I42" s="12">
        <f>'3. Рух грошових коштів'!I37</f>
        <v>0</v>
      </c>
      <c r="J42" s="12">
        <f>'3. Рух грошових коштів'!J37</f>
        <v>0</v>
      </c>
    </row>
    <row r="43" spans="1:10" ht="20.100000000000001" customHeight="1">
      <c r="A43" s="56" t="s">
        <v>124</v>
      </c>
      <c r="B43" s="6">
        <f>'3. Рух грошових коштів'!B63</f>
        <v>3580</v>
      </c>
      <c r="C43" s="12">
        <f>'3. Рух грошових коштів'!C63</f>
        <v>0</v>
      </c>
      <c r="D43" s="12">
        <f>'3. Рух грошових коштів'!D63</f>
        <v>0</v>
      </c>
      <c r="E43" s="12">
        <f>'3. Рух грошових коштів'!E63</f>
        <v>0</v>
      </c>
      <c r="F43" s="12">
        <f>'3. Рух грошових коштів'!F63</f>
        <v>0</v>
      </c>
      <c r="G43" s="12">
        <f>'3. Рух грошових коштів'!G63</f>
        <v>0</v>
      </c>
      <c r="H43" s="12">
        <f>'3. Рух грошових коштів'!H63</f>
        <v>0</v>
      </c>
      <c r="I43" s="12">
        <f>'3. Рух грошових коштів'!I63</f>
        <v>0</v>
      </c>
      <c r="J43" s="12">
        <f>'3. Рух грошових коштів'!J63</f>
        <v>0</v>
      </c>
    </row>
    <row r="44" spans="1:10" ht="20.100000000000001" customHeight="1">
      <c r="A44" s="56" t="s">
        <v>142</v>
      </c>
      <c r="B44" s="6">
        <f>'3. Рух грошових коштів'!B66</f>
        <v>3610</v>
      </c>
      <c r="C44" s="12">
        <f>'3. Рух грошових коштів'!C66</f>
        <v>0</v>
      </c>
      <c r="D44" s="12">
        <f>'3. Рух грошових коштів'!D66</f>
        <v>0</v>
      </c>
      <c r="E44" s="12">
        <f>'3. Рух грошових коштів'!E66</f>
        <v>0</v>
      </c>
      <c r="F44" s="12">
        <f>'3. Рух грошових коштів'!F66</f>
        <v>0</v>
      </c>
      <c r="G44" s="12">
        <f>'3. Рух грошових коштів'!G66</f>
        <v>0</v>
      </c>
      <c r="H44" s="12">
        <f>'3. Рух грошових коштів'!H66</f>
        <v>0</v>
      </c>
      <c r="I44" s="12">
        <f>'3. Рух грошових коштів'!I66</f>
        <v>0</v>
      </c>
      <c r="J44" s="12">
        <f>'3. Рух грошових коштів'!J66</f>
        <v>0</v>
      </c>
    </row>
    <row r="45" spans="1:10" ht="20.100000000000001" customHeight="1">
      <c r="A45" s="55" t="s">
        <v>125</v>
      </c>
      <c r="B45" s="71">
        <f>'3. Рух грошових коштів'!B67</f>
        <v>3620</v>
      </c>
      <c r="C45" s="90">
        <f>'3. Рух грошових коштів'!C67</f>
        <v>0</v>
      </c>
      <c r="D45" s="90">
        <f>'3. Рух грошових коштів'!D67</f>
        <v>0</v>
      </c>
      <c r="E45" s="90">
        <f>'3. Рух грошових коштів'!E67</f>
        <v>0</v>
      </c>
      <c r="F45" s="90">
        <f>'3. Рух грошових коштів'!F67</f>
        <v>0</v>
      </c>
      <c r="G45" s="90">
        <f>'3. Рух грошових коштів'!G67</f>
        <v>0</v>
      </c>
      <c r="H45" s="90">
        <f>'3. Рух грошових коштів'!H67</f>
        <v>0</v>
      </c>
      <c r="I45" s="90">
        <f>'3. Рух грошових коштів'!I67</f>
        <v>0</v>
      </c>
      <c r="J45" s="90">
        <f>'3. Рух грошових коштів'!J67</f>
        <v>0</v>
      </c>
    </row>
    <row r="46" spans="1:10" ht="24.95" customHeight="1">
      <c r="A46" s="394" t="s">
        <v>175</v>
      </c>
      <c r="B46" s="395"/>
      <c r="C46" s="395"/>
      <c r="D46" s="395"/>
      <c r="E46" s="395"/>
      <c r="F46" s="395"/>
      <c r="G46" s="395"/>
      <c r="H46" s="395"/>
      <c r="I46" s="395"/>
      <c r="J46" s="396"/>
    </row>
    <row r="47" spans="1:10" ht="20.100000000000001" customHeight="1">
      <c r="A47" s="56" t="s">
        <v>174</v>
      </c>
      <c r="B47" s="6">
        <f>'4. Кап. інвестиції'!B9</f>
        <v>4000</v>
      </c>
      <c r="C47" s="12">
        <f>'4. Кап. інвестиції'!C9</f>
        <v>2125.5500000000002</v>
      </c>
      <c r="D47" s="12">
        <f>'4. Кап. інвестиції'!D9</f>
        <v>0</v>
      </c>
      <c r="E47" s="12">
        <f>'4. Кап. інвестиції'!E9</f>
        <v>518.4</v>
      </c>
      <c r="F47" s="12">
        <f>'4. Кап. інвестиції'!F9</f>
        <v>4400</v>
      </c>
      <c r="G47" s="12">
        <f>'4. Кап. інвестиції'!G9</f>
        <v>0</v>
      </c>
      <c r="H47" s="12">
        <f>'4. Кап. інвестиції'!H9</f>
        <v>3000</v>
      </c>
      <c r="I47" s="12">
        <f>'4. Кап. інвестиції'!I9</f>
        <v>1400</v>
      </c>
      <c r="J47" s="12">
        <f>'4. Кап. інвестиції'!J9</f>
        <v>0</v>
      </c>
    </row>
    <row r="48" spans="1:10" s="5" customFormat="1" ht="24.95" customHeight="1">
      <c r="A48" s="401"/>
      <c r="B48" s="401"/>
      <c r="C48" s="401"/>
      <c r="D48" s="401"/>
      <c r="E48" s="401"/>
      <c r="F48" s="401"/>
      <c r="G48" s="401"/>
      <c r="H48" s="401"/>
      <c r="I48" s="401"/>
      <c r="J48" s="401"/>
    </row>
    <row r="49" spans="1:10" s="5" customFormat="1" ht="24.9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</row>
    <row r="50" spans="1:10" ht="24.95" customHeight="1">
      <c r="A50" s="107"/>
      <c r="C50" s="77"/>
      <c r="D50" s="77"/>
      <c r="E50" s="77"/>
      <c r="F50" s="77"/>
      <c r="G50" s="77"/>
      <c r="H50" s="77"/>
      <c r="I50" s="77"/>
      <c r="J50" s="77"/>
    </row>
    <row r="51" spans="1:10" ht="20.100000000000001" customHeight="1">
      <c r="A51" s="44" t="s">
        <v>412</v>
      </c>
      <c r="B51" s="1"/>
      <c r="C51" s="392" t="s">
        <v>191</v>
      </c>
      <c r="D51" s="392"/>
      <c r="E51" s="392"/>
      <c r="F51" s="392"/>
      <c r="G51" s="14"/>
      <c r="H51" s="393" t="s">
        <v>413</v>
      </c>
      <c r="I51" s="393"/>
      <c r="J51" s="393"/>
    </row>
    <row r="52" spans="1:10" s="2" customFormat="1" ht="20.100000000000001" customHeight="1">
      <c r="A52" s="51" t="s">
        <v>353</v>
      </c>
      <c r="B52" s="3"/>
      <c r="C52" s="388" t="s">
        <v>228</v>
      </c>
      <c r="D52" s="388"/>
      <c r="E52" s="388"/>
      <c r="F52" s="388"/>
      <c r="G52" s="23"/>
      <c r="H52" s="389" t="s">
        <v>89</v>
      </c>
      <c r="I52" s="389"/>
      <c r="J52" s="389"/>
    </row>
    <row r="54" spans="1:10">
      <c r="A54" s="37"/>
    </row>
    <row r="55" spans="1:10">
      <c r="A55" s="37"/>
    </row>
    <row r="56" spans="1:10">
      <c r="A56" s="37"/>
    </row>
    <row r="57" spans="1:10" s="21" customFormat="1">
      <c r="A57" s="37"/>
      <c r="F57" s="3"/>
      <c r="G57" s="3"/>
      <c r="H57" s="3"/>
      <c r="I57" s="3"/>
      <c r="J57" s="3"/>
    </row>
    <row r="58" spans="1:10" s="21" customFormat="1">
      <c r="A58" s="37"/>
      <c r="F58" s="3"/>
      <c r="G58" s="3"/>
      <c r="H58" s="3"/>
      <c r="I58" s="3"/>
      <c r="J58" s="3"/>
    </row>
    <row r="59" spans="1:10" s="21" customFormat="1">
      <c r="A59" s="37"/>
      <c r="F59" s="3"/>
      <c r="G59" s="3"/>
      <c r="H59" s="3"/>
      <c r="I59" s="3"/>
      <c r="J59" s="3"/>
    </row>
    <row r="60" spans="1:10" s="21" customFormat="1">
      <c r="A60" s="37"/>
      <c r="F60" s="3"/>
      <c r="G60" s="3"/>
      <c r="H60" s="3"/>
      <c r="I60" s="3"/>
      <c r="J60" s="3"/>
    </row>
    <row r="61" spans="1:10" s="21" customFormat="1">
      <c r="A61" s="37"/>
      <c r="F61" s="3"/>
      <c r="G61" s="3"/>
      <c r="H61" s="3"/>
      <c r="I61" s="3"/>
      <c r="J61" s="3"/>
    </row>
    <row r="62" spans="1:10" s="21" customFormat="1">
      <c r="A62" s="37"/>
      <c r="F62" s="3"/>
      <c r="G62" s="3"/>
      <c r="H62" s="3"/>
      <c r="I62" s="3"/>
      <c r="J62" s="3"/>
    </row>
    <row r="63" spans="1:10" s="21" customFormat="1">
      <c r="A63" s="37"/>
      <c r="F63" s="3"/>
      <c r="G63" s="3"/>
      <c r="H63" s="3"/>
      <c r="I63" s="3"/>
      <c r="J63" s="3"/>
    </row>
    <row r="64" spans="1:10" s="21" customFormat="1">
      <c r="A64" s="37"/>
      <c r="F64" s="3"/>
      <c r="G64" s="3"/>
      <c r="H64" s="3"/>
      <c r="I64" s="3"/>
      <c r="J64" s="3"/>
    </row>
    <row r="65" spans="1:10" s="21" customFormat="1">
      <c r="A65" s="37"/>
      <c r="F65" s="3"/>
      <c r="G65" s="3"/>
      <c r="H65" s="3"/>
      <c r="I65" s="3"/>
      <c r="J65" s="3"/>
    </row>
    <row r="66" spans="1:10" s="21" customFormat="1">
      <c r="A66" s="37"/>
      <c r="F66" s="3"/>
      <c r="G66" s="3"/>
      <c r="H66" s="3"/>
      <c r="I66" s="3"/>
      <c r="J66" s="3"/>
    </row>
    <row r="67" spans="1:10" s="21" customFormat="1">
      <c r="A67" s="37"/>
      <c r="F67" s="3"/>
      <c r="G67" s="3"/>
      <c r="H67" s="3"/>
      <c r="I67" s="3"/>
      <c r="J67" s="3"/>
    </row>
    <row r="68" spans="1:10" s="21" customFormat="1">
      <c r="A68" s="37"/>
      <c r="F68" s="3"/>
      <c r="G68" s="3"/>
      <c r="H68" s="3"/>
      <c r="I68" s="3"/>
      <c r="J68" s="3"/>
    </row>
    <row r="69" spans="1:10" s="21" customFormat="1">
      <c r="A69" s="37"/>
      <c r="F69" s="3"/>
      <c r="G69" s="3"/>
      <c r="H69" s="3"/>
      <c r="I69" s="3"/>
      <c r="J69" s="3"/>
    </row>
    <row r="70" spans="1:10" s="21" customFormat="1">
      <c r="A70" s="37"/>
      <c r="F70" s="3"/>
      <c r="G70" s="3"/>
      <c r="H70" s="3"/>
      <c r="I70" s="3"/>
      <c r="J70" s="3"/>
    </row>
    <row r="71" spans="1:10" s="21" customFormat="1">
      <c r="A71" s="37"/>
      <c r="F71" s="3"/>
      <c r="G71" s="3"/>
      <c r="H71" s="3"/>
      <c r="I71" s="3"/>
      <c r="J71" s="3"/>
    </row>
    <row r="72" spans="1:10" s="21" customFormat="1">
      <c r="A72" s="37"/>
      <c r="F72" s="3"/>
      <c r="G72" s="3"/>
      <c r="H72" s="3"/>
      <c r="I72" s="3"/>
      <c r="J72" s="3"/>
    </row>
    <row r="73" spans="1:10" s="21" customFormat="1">
      <c r="A73" s="37"/>
      <c r="F73" s="3"/>
      <c r="G73" s="3"/>
      <c r="H73" s="3"/>
      <c r="I73" s="3"/>
      <c r="J73" s="3"/>
    </row>
    <row r="74" spans="1:10" s="21" customFormat="1">
      <c r="A74" s="37"/>
      <c r="F74" s="3"/>
      <c r="G74" s="3"/>
      <c r="H74" s="3"/>
      <c r="I74" s="3"/>
      <c r="J74" s="3"/>
    </row>
    <row r="75" spans="1:10" s="21" customFormat="1">
      <c r="A75" s="37"/>
      <c r="F75" s="3"/>
      <c r="G75" s="3"/>
      <c r="H75" s="3"/>
      <c r="I75" s="3"/>
      <c r="J75" s="3"/>
    </row>
    <row r="76" spans="1:10" s="21" customFormat="1">
      <c r="A76" s="37"/>
      <c r="F76" s="3"/>
      <c r="G76" s="3"/>
      <c r="H76" s="3"/>
      <c r="I76" s="3"/>
      <c r="J76" s="3"/>
    </row>
    <row r="77" spans="1:10" s="21" customFormat="1">
      <c r="A77" s="37"/>
      <c r="F77" s="3"/>
      <c r="G77" s="3"/>
      <c r="H77" s="3"/>
      <c r="I77" s="3"/>
      <c r="J77" s="3"/>
    </row>
    <row r="78" spans="1:10" s="21" customFormat="1">
      <c r="A78" s="37"/>
      <c r="F78" s="3"/>
      <c r="G78" s="3"/>
      <c r="H78" s="3"/>
      <c r="I78" s="3"/>
      <c r="J78" s="3"/>
    </row>
    <row r="79" spans="1:10" s="21" customFormat="1">
      <c r="A79" s="37"/>
      <c r="F79" s="3"/>
      <c r="G79" s="3"/>
      <c r="H79" s="3"/>
      <c r="I79" s="3"/>
      <c r="J79" s="3"/>
    </row>
    <row r="80" spans="1:10" s="21" customFormat="1">
      <c r="A80" s="37"/>
      <c r="F80" s="3"/>
      <c r="G80" s="3"/>
      <c r="H80" s="3"/>
      <c r="I80" s="3"/>
      <c r="J80" s="3"/>
    </row>
    <row r="81" spans="1:10" s="21" customFormat="1">
      <c r="A81" s="37"/>
      <c r="F81" s="3"/>
      <c r="G81" s="3"/>
      <c r="H81" s="3"/>
      <c r="I81" s="3"/>
      <c r="J81" s="3"/>
    </row>
    <row r="82" spans="1:10" s="21" customFormat="1">
      <c r="A82" s="37"/>
      <c r="F82" s="3"/>
      <c r="G82" s="3"/>
      <c r="H82" s="3"/>
      <c r="I82" s="3"/>
      <c r="J82" s="3"/>
    </row>
    <row r="83" spans="1:10" s="21" customFormat="1">
      <c r="A83" s="37"/>
      <c r="F83" s="3"/>
      <c r="G83" s="3"/>
      <c r="H83" s="3"/>
      <c r="I83" s="3"/>
      <c r="J83" s="3"/>
    </row>
    <row r="84" spans="1:10" s="21" customFormat="1">
      <c r="A84" s="37"/>
      <c r="F84" s="3"/>
      <c r="G84" s="3"/>
      <c r="H84" s="3"/>
      <c r="I84" s="3"/>
      <c r="J84" s="3"/>
    </row>
    <row r="85" spans="1:10" s="21" customFormat="1">
      <c r="A85" s="37"/>
      <c r="F85" s="3"/>
      <c r="G85" s="3"/>
      <c r="H85" s="3"/>
      <c r="I85" s="3"/>
      <c r="J85" s="3"/>
    </row>
    <row r="86" spans="1:10" s="21" customFormat="1">
      <c r="A86" s="37"/>
      <c r="F86" s="3"/>
      <c r="G86" s="3"/>
      <c r="H86" s="3"/>
      <c r="I86" s="3"/>
      <c r="J86" s="3"/>
    </row>
    <row r="87" spans="1:10" s="21" customFormat="1">
      <c r="A87" s="37"/>
      <c r="F87" s="3"/>
      <c r="G87" s="3"/>
      <c r="H87" s="3"/>
      <c r="I87" s="3"/>
      <c r="J87" s="3"/>
    </row>
    <row r="88" spans="1:10" s="21" customFormat="1">
      <c r="A88" s="37"/>
      <c r="F88" s="3"/>
      <c r="G88" s="3"/>
      <c r="H88" s="3"/>
      <c r="I88" s="3"/>
      <c r="J88" s="3"/>
    </row>
    <row r="89" spans="1:10" s="21" customFormat="1">
      <c r="A89" s="37"/>
      <c r="F89" s="3"/>
      <c r="G89" s="3"/>
      <c r="H89" s="3"/>
      <c r="I89" s="3"/>
      <c r="J89" s="3"/>
    </row>
    <row r="90" spans="1:10" s="21" customFormat="1">
      <c r="A90" s="37"/>
      <c r="F90" s="3"/>
      <c r="G90" s="3"/>
      <c r="H90" s="3"/>
      <c r="I90" s="3"/>
      <c r="J90" s="3"/>
    </row>
    <row r="91" spans="1:10" s="21" customFormat="1">
      <c r="A91" s="37"/>
      <c r="F91" s="3"/>
      <c r="G91" s="3"/>
      <c r="H91" s="3"/>
      <c r="I91" s="3"/>
      <c r="J91" s="3"/>
    </row>
    <row r="92" spans="1:10" s="21" customFormat="1">
      <c r="A92" s="37"/>
      <c r="F92" s="3"/>
      <c r="G92" s="3"/>
      <c r="H92" s="3"/>
      <c r="I92" s="3"/>
      <c r="J92" s="3"/>
    </row>
    <row r="93" spans="1:10" s="21" customFormat="1">
      <c r="A93" s="37"/>
      <c r="F93" s="3"/>
      <c r="G93" s="3"/>
      <c r="H93" s="3"/>
      <c r="I93" s="3"/>
      <c r="J93" s="3"/>
    </row>
    <row r="94" spans="1:10" s="21" customFormat="1">
      <c r="A94" s="37"/>
      <c r="F94" s="3"/>
      <c r="G94" s="3"/>
      <c r="H94" s="3"/>
      <c r="I94" s="3"/>
      <c r="J94" s="3"/>
    </row>
    <row r="95" spans="1:10" s="21" customFormat="1">
      <c r="A95" s="37"/>
      <c r="F95" s="3"/>
      <c r="G95" s="3"/>
      <c r="H95" s="3"/>
      <c r="I95" s="3"/>
      <c r="J95" s="3"/>
    </row>
    <row r="96" spans="1:10" s="21" customFormat="1">
      <c r="A96" s="37"/>
      <c r="F96" s="3"/>
      <c r="G96" s="3"/>
      <c r="H96" s="3"/>
      <c r="I96" s="3"/>
      <c r="J96" s="3"/>
    </row>
    <row r="97" spans="1:10" s="21" customFormat="1">
      <c r="A97" s="37"/>
      <c r="F97" s="3"/>
      <c r="G97" s="3"/>
      <c r="H97" s="3"/>
      <c r="I97" s="3"/>
      <c r="J97" s="3"/>
    </row>
    <row r="98" spans="1:10" s="21" customFormat="1">
      <c r="A98" s="37"/>
      <c r="F98" s="3"/>
      <c r="G98" s="3"/>
      <c r="H98" s="3"/>
      <c r="I98" s="3"/>
      <c r="J98" s="3"/>
    </row>
    <row r="99" spans="1:10" s="21" customFormat="1">
      <c r="A99" s="37"/>
      <c r="F99" s="3"/>
      <c r="G99" s="3"/>
      <c r="H99" s="3"/>
      <c r="I99" s="3"/>
      <c r="J99" s="3"/>
    </row>
    <row r="100" spans="1:10" s="21" customFormat="1">
      <c r="A100" s="37"/>
      <c r="F100" s="3"/>
      <c r="G100" s="3"/>
      <c r="H100" s="3"/>
      <c r="I100" s="3"/>
      <c r="J100" s="3"/>
    </row>
    <row r="101" spans="1:10" s="21" customFormat="1">
      <c r="A101" s="37"/>
      <c r="F101" s="3"/>
      <c r="G101" s="3"/>
      <c r="H101" s="3"/>
      <c r="I101" s="3"/>
      <c r="J101" s="3"/>
    </row>
    <row r="102" spans="1:10" s="21" customFormat="1">
      <c r="A102" s="37"/>
      <c r="F102" s="3"/>
      <c r="G102" s="3"/>
      <c r="H102" s="3"/>
      <c r="I102" s="3"/>
      <c r="J102" s="3"/>
    </row>
    <row r="103" spans="1:10" s="21" customFormat="1">
      <c r="A103" s="37"/>
      <c r="F103" s="3"/>
      <c r="G103" s="3"/>
      <c r="H103" s="3"/>
      <c r="I103" s="3"/>
      <c r="J103" s="3"/>
    </row>
    <row r="104" spans="1:10" s="21" customFormat="1">
      <c r="A104" s="37"/>
      <c r="F104" s="3"/>
      <c r="G104" s="3"/>
      <c r="H104" s="3"/>
      <c r="I104" s="3"/>
      <c r="J104" s="3"/>
    </row>
    <row r="105" spans="1:10" s="21" customFormat="1">
      <c r="A105" s="37"/>
      <c r="F105" s="3"/>
      <c r="G105" s="3"/>
      <c r="H105" s="3"/>
      <c r="I105" s="3"/>
      <c r="J105" s="3"/>
    </row>
    <row r="106" spans="1:10" s="21" customFormat="1">
      <c r="A106" s="37"/>
      <c r="F106" s="3"/>
      <c r="G106" s="3"/>
      <c r="H106" s="3"/>
      <c r="I106" s="3"/>
      <c r="J106" s="3"/>
    </row>
    <row r="107" spans="1:10" s="21" customFormat="1">
      <c r="A107" s="37"/>
      <c r="F107" s="3"/>
      <c r="G107" s="3"/>
      <c r="H107" s="3"/>
      <c r="I107" s="3"/>
      <c r="J107" s="3"/>
    </row>
    <row r="108" spans="1:10" s="21" customFormat="1">
      <c r="A108" s="37"/>
      <c r="F108" s="3"/>
      <c r="G108" s="3"/>
      <c r="H108" s="3"/>
      <c r="I108" s="3"/>
      <c r="J108" s="3"/>
    </row>
    <row r="109" spans="1:10" s="21" customFormat="1">
      <c r="A109" s="37"/>
      <c r="F109" s="3"/>
      <c r="G109" s="3"/>
      <c r="H109" s="3"/>
      <c r="I109" s="3"/>
      <c r="J109" s="3"/>
    </row>
    <row r="110" spans="1:10" s="21" customFormat="1">
      <c r="A110" s="37"/>
      <c r="F110" s="3"/>
      <c r="G110" s="3"/>
      <c r="H110" s="3"/>
      <c r="I110" s="3"/>
      <c r="J110" s="3"/>
    </row>
    <row r="111" spans="1:10" s="21" customFormat="1">
      <c r="A111" s="37"/>
      <c r="F111" s="3"/>
      <c r="G111" s="3"/>
      <c r="H111" s="3"/>
      <c r="I111" s="3"/>
      <c r="J111" s="3"/>
    </row>
    <row r="112" spans="1:10" s="21" customFormat="1">
      <c r="A112" s="37"/>
      <c r="F112" s="3"/>
      <c r="G112" s="3"/>
      <c r="H112" s="3"/>
      <c r="I112" s="3"/>
      <c r="J112" s="3"/>
    </row>
    <row r="113" spans="1:10" s="21" customFormat="1">
      <c r="A113" s="37"/>
      <c r="F113" s="3"/>
      <c r="G113" s="3"/>
      <c r="H113" s="3"/>
      <c r="I113" s="3"/>
      <c r="J113" s="3"/>
    </row>
    <row r="114" spans="1:10" s="21" customFormat="1">
      <c r="A114" s="37"/>
      <c r="F114" s="3"/>
      <c r="G114" s="3"/>
      <c r="H114" s="3"/>
      <c r="I114" s="3"/>
      <c r="J114" s="3"/>
    </row>
    <row r="115" spans="1:10" s="21" customFormat="1">
      <c r="A115" s="37"/>
      <c r="F115" s="3"/>
      <c r="G115" s="3"/>
      <c r="H115" s="3"/>
      <c r="I115" s="3"/>
      <c r="J115" s="3"/>
    </row>
    <row r="116" spans="1:10" s="21" customFormat="1">
      <c r="A116" s="37"/>
      <c r="F116" s="3"/>
      <c r="G116" s="3"/>
      <c r="H116" s="3"/>
      <c r="I116" s="3"/>
      <c r="J116" s="3"/>
    </row>
    <row r="117" spans="1:10" s="21" customFormat="1">
      <c r="A117" s="37"/>
      <c r="F117" s="3"/>
      <c r="G117" s="3"/>
      <c r="H117" s="3"/>
      <c r="I117" s="3"/>
      <c r="J117" s="3"/>
    </row>
    <row r="118" spans="1:10" s="21" customFormat="1">
      <c r="A118" s="37"/>
      <c r="F118" s="3"/>
      <c r="G118" s="3"/>
      <c r="H118" s="3"/>
      <c r="I118" s="3"/>
      <c r="J118" s="3"/>
    </row>
    <row r="119" spans="1:10" s="21" customFormat="1">
      <c r="A119" s="37"/>
      <c r="F119" s="3"/>
      <c r="G119" s="3"/>
      <c r="H119" s="3"/>
      <c r="I119" s="3"/>
      <c r="J119" s="3"/>
    </row>
    <row r="120" spans="1:10" s="21" customFormat="1">
      <c r="A120" s="37"/>
      <c r="F120" s="3"/>
      <c r="G120" s="3"/>
      <c r="H120" s="3"/>
      <c r="I120" s="3"/>
      <c r="J120" s="3"/>
    </row>
    <row r="121" spans="1:10" s="21" customFormat="1">
      <c r="A121" s="37"/>
      <c r="F121" s="3"/>
      <c r="G121" s="3"/>
      <c r="H121" s="3"/>
      <c r="I121" s="3"/>
      <c r="J121" s="3"/>
    </row>
    <row r="122" spans="1:10" s="21" customFormat="1">
      <c r="A122" s="37"/>
      <c r="F122" s="3"/>
      <c r="G122" s="3"/>
      <c r="H122" s="3"/>
      <c r="I122" s="3"/>
      <c r="J122" s="3"/>
    </row>
    <row r="123" spans="1:10" s="21" customFormat="1">
      <c r="A123" s="37"/>
      <c r="F123" s="3"/>
      <c r="G123" s="3"/>
      <c r="H123" s="3"/>
      <c r="I123" s="3"/>
      <c r="J123" s="3"/>
    </row>
    <row r="124" spans="1:10" s="21" customFormat="1">
      <c r="A124" s="37"/>
      <c r="F124" s="3"/>
      <c r="G124" s="3"/>
      <c r="H124" s="3"/>
      <c r="I124" s="3"/>
      <c r="J124" s="3"/>
    </row>
    <row r="125" spans="1:10" s="21" customFormat="1">
      <c r="A125" s="37"/>
      <c r="F125" s="3"/>
      <c r="G125" s="3"/>
      <c r="H125" s="3"/>
      <c r="I125" s="3"/>
      <c r="J125" s="3"/>
    </row>
    <row r="126" spans="1:10" s="21" customFormat="1">
      <c r="A126" s="37"/>
      <c r="F126" s="3"/>
      <c r="G126" s="3"/>
      <c r="H126" s="3"/>
      <c r="I126" s="3"/>
      <c r="J126" s="3"/>
    </row>
    <row r="127" spans="1:10" s="21" customFormat="1">
      <c r="A127" s="37"/>
      <c r="F127" s="3"/>
      <c r="G127" s="3"/>
      <c r="H127" s="3"/>
      <c r="I127" s="3"/>
      <c r="J127" s="3"/>
    </row>
    <row r="128" spans="1:10" s="21" customFormat="1">
      <c r="A128" s="37"/>
      <c r="F128" s="3"/>
      <c r="G128" s="3"/>
      <c r="H128" s="3"/>
      <c r="I128" s="3"/>
      <c r="J128" s="3"/>
    </row>
    <row r="129" spans="1:10" s="21" customFormat="1">
      <c r="A129" s="37"/>
      <c r="F129" s="3"/>
      <c r="G129" s="3"/>
      <c r="H129" s="3"/>
      <c r="I129" s="3"/>
      <c r="J129" s="3"/>
    </row>
    <row r="130" spans="1:10" s="21" customFormat="1">
      <c r="A130" s="37"/>
      <c r="F130" s="3"/>
      <c r="G130" s="3"/>
      <c r="H130" s="3"/>
      <c r="I130" s="3"/>
      <c r="J130" s="3"/>
    </row>
    <row r="131" spans="1:10" s="21" customFormat="1">
      <c r="A131" s="37"/>
      <c r="F131" s="3"/>
      <c r="G131" s="3"/>
      <c r="H131" s="3"/>
      <c r="I131" s="3"/>
      <c r="J131" s="3"/>
    </row>
    <row r="132" spans="1:10" s="21" customFormat="1">
      <c r="A132" s="37"/>
      <c r="F132" s="3"/>
      <c r="G132" s="3"/>
      <c r="H132" s="3"/>
      <c r="I132" s="3"/>
      <c r="J132" s="3"/>
    </row>
    <row r="133" spans="1:10" s="21" customFormat="1">
      <c r="A133" s="37"/>
      <c r="F133" s="3"/>
      <c r="G133" s="3"/>
      <c r="H133" s="3"/>
      <c r="I133" s="3"/>
      <c r="J133" s="3"/>
    </row>
    <row r="134" spans="1:10" s="21" customFormat="1">
      <c r="A134" s="37"/>
      <c r="F134" s="3"/>
      <c r="G134" s="3"/>
      <c r="H134" s="3"/>
      <c r="I134" s="3"/>
      <c r="J134" s="3"/>
    </row>
    <row r="135" spans="1:10" s="21" customFormat="1">
      <c r="A135" s="37"/>
      <c r="F135" s="3"/>
      <c r="G135" s="3"/>
      <c r="H135" s="3"/>
      <c r="I135" s="3"/>
      <c r="J135" s="3"/>
    </row>
    <row r="136" spans="1:10" s="21" customFormat="1">
      <c r="A136" s="37"/>
      <c r="F136" s="3"/>
      <c r="G136" s="3"/>
      <c r="H136" s="3"/>
      <c r="I136" s="3"/>
      <c r="J136" s="3"/>
    </row>
    <row r="137" spans="1:10" s="21" customFormat="1">
      <c r="A137" s="37"/>
      <c r="F137" s="3"/>
      <c r="G137" s="3"/>
      <c r="H137" s="3"/>
      <c r="I137" s="3"/>
      <c r="J137" s="3"/>
    </row>
    <row r="138" spans="1:10" s="21" customFormat="1">
      <c r="A138" s="37"/>
      <c r="F138" s="3"/>
      <c r="G138" s="3"/>
      <c r="H138" s="3"/>
      <c r="I138" s="3"/>
      <c r="J138" s="3"/>
    </row>
    <row r="139" spans="1:10" s="21" customFormat="1">
      <c r="A139" s="37"/>
      <c r="F139" s="3"/>
      <c r="G139" s="3"/>
      <c r="H139" s="3"/>
      <c r="I139" s="3"/>
      <c r="J139" s="3"/>
    </row>
    <row r="140" spans="1:10" s="21" customFormat="1">
      <c r="A140" s="37"/>
      <c r="F140" s="3"/>
      <c r="G140" s="3"/>
      <c r="H140" s="3"/>
      <c r="I140" s="3"/>
      <c r="J140" s="3"/>
    </row>
    <row r="141" spans="1:10" s="21" customFormat="1">
      <c r="A141" s="37"/>
      <c r="F141" s="3"/>
      <c r="G141" s="3"/>
      <c r="H141" s="3"/>
      <c r="I141" s="3"/>
      <c r="J141" s="3"/>
    </row>
    <row r="142" spans="1:10" s="21" customFormat="1">
      <c r="A142" s="37"/>
      <c r="F142" s="3"/>
      <c r="G142" s="3"/>
      <c r="H142" s="3"/>
      <c r="I142" s="3"/>
      <c r="J142" s="3"/>
    </row>
    <row r="143" spans="1:10" s="21" customFormat="1">
      <c r="A143" s="37"/>
      <c r="F143" s="3"/>
      <c r="G143" s="3"/>
      <c r="H143" s="3"/>
      <c r="I143" s="3"/>
      <c r="J143" s="3"/>
    </row>
    <row r="144" spans="1:10" s="21" customFormat="1">
      <c r="A144" s="37"/>
      <c r="F144" s="3"/>
      <c r="G144" s="3"/>
      <c r="H144" s="3"/>
      <c r="I144" s="3"/>
      <c r="J144" s="3"/>
    </row>
    <row r="145" spans="1:10" s="21" customFormat="1">
      <c r="A145" s="37"/>
      <c r="F145" s="3"/>
      <c r="G145" s="3"/>
      <c r="H145" s="3"/>
      <c r="I145" s="3"/>
      <c r="J145" s="3"/>
    </row>
    <row r="146" spans="1:10" s="21" customFormat="1">
      <c r="A146" s="37"/>
      <c r="F146" s="3"/>
      <c r="G146" s="3"/>
      <c r="H146" s="3"/>
      <c r="I146" s="3"/>
      <c r="J146" s="3"/>
    </row>
    <row r="147" spans="1:10" s="21" customFormat="1">
      <c r="A147" s="37"/>
      <c r="F147" s="3"/>
      <c r="G147" s="3"/>
      <c r="H147" s="3"/>
      <c r="I147" s="3"/>
      <c r="J147" s="3"/>
    </row>
    <row r="148" spans="1:10" s="21" customFormat="1">
      <c r="A148" s="37"/>
      <c r="F148" s="3"/>
      <c r="G148" s="3"/>
      <c r="H148" s="3"/>
      <c r="I148" s="3"/>
      <c r="J148" s="3"/>
    </row>
    <row r="149" spans="1:10" s="21" customFormat="1">
      <c r="A149" s="37"/>
      <c r="F149" s="3"/>
      <c r="G149" s="3"/>
      <c r="H149" s="3"/>
      <c r="I149" s="3"/>
      <c r="J149" s="3"/>
    </row>
    <row r="150" spans="1:10" s="21" customFormat="1">
      <c r="A150" s="37"/>
      <c r="F150" s="3"/>
      <c r="G150" s="3"/>
      <c r="H150" s="3"/>
      <c r="I150" s="3"/>
      <c r="J150" s="3"/>
    </row>
    <row r="151" spans="1:10" s="21" customFormat="1">
      <c r="A151" s="37"/>
      <c r="F151" s="3"/>
      <c r="G151" s="3"/>
      <c r="H151" s="3"/>
      <c r="I151" s="3"/>
      <c r="J151" s="3"/>
    </row>
    <row r="152" spans="1:10" s="21" customFormat="1">
      <c r="A152" s="37"/>
      <c r="F152" s="3"/>
      <c r="G152" s="3"/>
      <c r="H152" s="3"/>
      <c r="I152" s="3"/>
      <c r="J152" s="3"/>
    </row>
    <row r="153" spans="1:10" s="21" customFormat="1">
      <c r="A153" s="37"/>
      <c r="F153" s="3"/>
      <c r="G153" s="3"/>
      <c r="H153" s="3"/>
      <c r="I153" s="3"/>
      <c r="J153" s="3"/>
    </row>
    <row r="154" spans="1:10" s="21" customFormat="1">
      <c r="A154" s="37"/>
      <c r="F154" s="3"/>
      <c r="G154" s="3"/>
      <c r="H154" s="3"/>
      <c r="I154" s="3"/>
      <c r="J154" s="3"/>
    </row>
    <row r="155" spans="1:10" s="21" customFormat="1">
      <c r="A155" s="37"/>
      <c r="F155" s="3"/>
      <c r="G155" s="3"/>
      <c r="H155" s="3"/>
      <c r="I155" s="3"/>
      <c r="J155" s="3"/>
    </row>
    <row r="156" spans="1:10" s="21" customFormat="1">
      <c r="A156" s="37"/>
      <c r="F156" s="3"/>
      <c r="G156" s="3"/>
      <c r="H156" s="3"/>
      <c r="I156" s="3"/>
      <c r="J156" s="3"/>
    </row>
    <row r="157" spans="1:10" s="21" customFormat="1">
      <c r="A157" s="37"/>
      <c r="F157" s="3"/>
      <c r="G157" s="3"/>
      <c r="H157" s="3"/>
      <c r="I157" s="3"/>
      <c r="J157" s="3"/>
    </row>
    <row r="158" spans="1:10" s="21" customFormat="1">
      <c r="A158" s="37"/>
      <c r="F158" s="3"/>
      <c r="G158" s="3"/>
      <c r="H158" s="3"/>
      <c r="I158" s="3"/>
      <c r="J158" s="3"/>
    </row>
    <row r="159" spans="1:10" s="21" customFormat="1">
      <c r="A159" s="37"/>
      <c r="F159" s="3"/>
      <c r="G159" s="3"/>
      <c r="H159" s="3"/>
      <c r="I159" s="3"/>
      <c r="J159" s="3"/>
    </row>
    <row r="160" spans="1:10" s="21" customFormat="1">
      <c r="A160" s="37"/>
      <c r="F160" s="3"/>
      <c r="G160" s="3"/>
      <c r="H160" s="3"/>
      <c r="I160" s="3"/>
      <c r="J160" s="3"/>
    </row>
    <row r="161" spans="1:10" s="21" customFormat="1">
      <c r="A161" s="37"/>
      <c r="F161" s="3"/>
      <c r="G161" s="3"/>
      <c r="H161" s="3"/>
      <c r="I161" s="3"/>
      <c r="J161" s="3"/>
    </row>
    <row r="162" spans="1:10" s="21" customFormat="1">
      <c r="A162" s="37"/>
      <c r="F162" s="3"/>
      <c r="G162" s="3"/>
      <c r="H162" s="3"/>
      <c r="I162" s="3"/>
      <c r="J162" s="3"/>
    </row>
    <row r="163" spans="1:10" s="21" customFormat="1">
      <c r="A163" s="37"/>
      <c r="F163" s="3"/>
      <c r="G163" s="3"/>
      <c r="H163" s="3"/>
      <c r="I163" s="3"/>
      <c r="J163" s="3"/>
    </row>
    <row r="164" spans="1:10" s="21" customFormat="1">
      <c r="A164" s="37"/>
      <c r="F164" s="3"/>
      <c r="G164" s="3"/>
      <c r="H164" s="3"/>
      <c r="I164" s="3"/>
      <c r="J164" s="3"/>
    </row>
    <row r="165" spans="1:10" s="21" customFormat="1">
      <c r="A165" s="37"/>
      <c r="F165" s="3"/>
      <c r="G165" s="3"/>
      <c r="H165" s="3"/>
      <c r="I165" s="3"/>
      <c r="J165" s="3"/>
    </row>
    <row r="166" spans="1:10" s="21" customFormat="1">
      <c r="A166" s="37"/>
      <c r="F166" s="3"/>
      <c r="G166" s="3"/>
      <c r="H166" s="3"/>
      <c r="I166" s="3"/>
      <c r="J166" s="3"/>
    </row>
    <row r="167" spans="1:10" s="21" customFormat="1">
      <c r="A167" s="37"/>
      <c r="F167" s="3"/>
      <c r="G167" s="3"/>
      <c r="H167" s="3"/>
      <c r="I167" s="3"/>
      <c r="J167" s="3"/>
    </row>
    <row r="168" spans="1:10" s="21" customFormat="1">
      <c r="A168" s="37"/>
      <c r="F168" s="3"/>
      <c r="G168" s="3"/>
      <c r="H168" s="3"/>
      <c r="I168" s="3"/>
      <c r="J168" s="3"/>
    </row>
    <row r="169" spans="1:10" s="21" customFormat="1">
      <c r="A169" s="37"/>
      <c r="F169" s="3"/>
      <c r="G169" s="3"/>
      <c r="H169" s="3"/>
      <c r="I169" s="3"/>
      <c r="J169" s="3"/>
    </row>
    <row r="170" spans="1:10" s="21" customFormat="1">
      <c r="A170" s="37"/>
      <c r="F170" s="3"/>
      <c r="G170" s="3"/>
      <c r="H170" s="3"/>
      <c r="I170" s="3"/>
      <c r="J170" s="3"/>
    </row>
    <row r="171" spans="1:10" s="21" customFormat="1">
      <c r="A171" s="37"/>
      <c r="F171" s="3"/>
      <c r="G171" s="3"/>
      <c r="H171" s="3"/>
      <c r="I171" s="3"/>
      <c r="J171" s="3"/>
    </row>
    <row r="172" spans="1:10" s="21" customFormat="1">
      <c r="A172" s="37"/>
      <c r="F172" s="3"/>
      <c r="G172" s="3"/>
      <c r="H172" s="3"/>
      <c r="I172" s="3"/>
      <c r="J172" s="3"/>
    </row>
    <row r="173" spans="1:10" s="21" customFormat="1">
      <c r="A173" s="37"/>
      <c r="F173" s="3"/>
      <c r="G173" s="3"/>
      <c r="H173" s="3"/>
      <c r="I173" s="3"/>
      <c r="J173" s="3"/>
    </row>
    <row r="174" spans="1:10" s="21" customFormat="1">
      <c r="A174" s="37"/>
      <c r="F174" s="3"/>
      <c r="G174" s="3"/>
      <c r="H174" s="3"/>
      <c r="I174" s="3"/>
      <c r="J174" s="3"/>
    </row>
    <row r="175" spans="1:10" s="21" customFormat="1">
      <c r="A175" s="37"/>
      <c r="F175" s="3"/>
      <c r="G175" s="3"/>
      <c r="H175" s="3"/>
      <c r="I175" s="3"/>
      <c r="J175" s="3"/>
    </row>
    <row r="176" spans="1:10" s="21" customFormat="1">
      <c r="A176" s="37"/>
      <c r="F176" s="3"/>
      <c r="G176" s="3"/>
      <c r="H176" s="3"/>
      <c r="I176" s="3"/>
      <c r="J176" s="3"/>
    </row>
    <row r="177" spans="1:10" s="21" customFormat="1">
      <c r="A177" s="37"/>
      <c r="F177" s="3"/>
      <c r="G177" s="3"/>
      <c r="H177" s="3"/>
      <c r="I177" s="3"/>
      <c r="J177" s="3"/>
    </row>
    <row r="178" spans="1:10" s="21" customFormat="1">
      <c r="A178" s="37"/>
      <c r="F178" s="3"/>
      <c r="G178" s="3"/>
      <c r="H178" s="3"/>
      <c r="I178" s="3"/>
      <c r="J178" s="3"/>
    </row>
    <row r="179" spans="1:10" s="21" customFormat="1">
      <c r="A179" s="37"/>
      <c r="F179" s="3"/>
      <c r="G179" s="3"/>
      <c r="H179" s="3"/>
      <c r="I179" s="3"/>
      <c r="J179" s="3"/>
    </row>
    <row r="180" spans="1:10" s="21" customFormat="1">
      <c r="A180" s="37"/>
      <c r="F180" s="3"/>
      <c r="G180" s="3"/>
      <c r="H180" s="3"/>
      <c r="I180" s="3"/>
      <c r="J180" s="3"/>
    </row>
    <row r="181" spans="1:10" s="21" customFormat="1">
      <c r="A181" s="37"/>
      <c r="F181" s="3"/>
      <c r="G181" s="3"/>
      <c r="H181" s="3"/>
      <c r="I181" s="3"/>
      <c r="J181" s="3"/>
    </row>
    <row r="182" spans="1:10" s="21" customFormat="1">
      <c r="A182" s="37"/>
      <c r="F182" s="3"/>
      <c r="G182" s="3"/>
      <c r="H182" s="3"/>
      <c r="I182" s="3"/>
      <c r="J182" s="3"/>
    </row>
    <row r="183" spans="1:10" s="21" customFormat="1">
      <c r="A183" s="37"/>
      <c r="F183" s="3"/>
      <c r="G183" s="3"/>
      <c r="H183" s="3"/>
      <c r="I183" s="3"/>
      <c r="J183" s="3"/>
    </row>
    <row r="184" spans="1:10" s="21" customFormat="1">
      <c r="A184" s="37"/>
      <c r="F184" s="3"/>
      <c r="G184" s="3"/>
      <c r="H184" s="3"/>
      <c r="I184" s="3"/>
      <c r="J184" s="3"/>
    </row>
    <row r="185" spans="1:10" s="21" customFormat="1">
      <c r="A185" s="37"/>
      <c r="F185" s="3"/>
      <c r="G185" s="3"/>
      <c r="H185" s="3"/>
      <c r="I185" s="3"/>
      <c r="J185" s="3"/>
    </row>
    <row r="186" spans="1:10" s="21" customFormat="1">
      <c r="A186" s="37"/>
      <c r="F186" s="3"/>
      <c r="G186" s="3"/>
      <c r="H186" s="3"/>
      <c r="I186" s="3"/>
      <c r="J186" s="3"/>
    </row>
    <row r="187" spans="1:10" s="21" customFormat="1">
      <c r="A187" s="37"/>
      <c r="F187" s="3"/>
      <c r="G187" s="3"/>
      <c r="H187" s="3"/>
      <c r="I187" s="3"/>
      <c r="J187" s="3"/>
    </row>
    <row r="188" spans="1:10" s="21" customFormat="1">
      <c r="A188" s="37"/>
      <c r="F188" s="3"/>
      <c r="G188" s="3"/>
      <c r="H188" s="3"/>
      <c r="I188" s="3"/>
      <c r="J188" s="3"/>
    </row>
    <row r="189" spans="1:10" s="21" customFormat="1">
      <c r="A189" s="37"/>
      <c r="F189" s="3"/>
      <c r="G189" s="3"/>
      <c r="H189" s="3"/>
      <c r="I189" s="3"/>
      <c r="J189" s="3"/>
    </row>
    <row r="190" spans="1:10" s="21" customFormat="1">
      <c r="A190" s="37"/>
      <c r="F190" s="3"/>
      <c r="G190" s="3"/>
      <c r="H190" s="3"/>
      <c r="I190" s="3"/>
      <c r="J190" s="3"/>
    </row>
    <row r="191" spans="1:10" s="21" customFormat="1">
      <c r="A191" s="37"/>
      <c r="F191" s="3"/>
      <c r="G191" s="3"/>
      <c r="H191" s="3"/>
      <c r="I191" s="3"/>
      <c r="J191" s="3"/>
    </row>
    <row r="192" spans="1:10" s="21" customFormat="1">
      <c r="A192" s="37"/>
      <c r="F192" s="3"/>
      <c r="G192" s="3"/>
      <c r="H192" s="3"/>
      <c r="I192" s="3"/>
      <c r="J192" s="3"/>
    </row>
    <row r="193" spans="1:10" s="21" customFormat="1">
      <c r="A193" s="37"/>
      <c r="F193" s="3"/>
      <c r="G193" s="3"/>
      <c r="H193" s="3"/>
      <c r="I193" s="3"/>
      <c r="J193" s="3"/>
    </row>
    <row r="194" spans="1:10" s="21" customFormat="1">
      <c r="A194" s="37"/>
      <c r="F194" s="3"/>
      <c r="G194" s="3"/>
      <c r="H194" s="3"/>
      <c r="I194" s="3"/>
      <c r="J194" s="3"/>
    </row>
    <row r="195" spans="1:10" s="21" customFormat="1">
      <c r="A195" s="37"/>
      <c r="F195" s="3"/>
      <c r="G195" s="3"/>
      <c r="H195" s="3"/>
      <c r="I195" s="3"/>
      <c r="J195" s="3"/>
    </row>
    <row r="196" spans="1:10" s="21" customFormat="1">
      <c r="A196" s="37"/>
      <c r="F196" s="3"/>
      <c r="G196" s="3"/>
      <c r="H196" s="3"/>
      <c r="I196" s="3"/>
      <c r="J196" s="3"/>
    </row>
    <row r="197" spans="1:10" s="21" customFormat="1">
      <c r="A197" s="37"/>
      <c r="F197" s="3"/>
      <c r="G197" s="3"/>
      <c r="H197" s="3"/>
      <c r="I197" s="3"/>
      <c r="J197" s="3"/>
    </row>
    <row r="198" spans="1:10" s="21" customFormat="1">
      <c r="A198" s="37"/>
      <c r="F198" s="3"/>
      <c r="G198" s="3"/>
      <c r="H198" s="3"/>
      <c r="I198" s="3"/>
      <c r="J198" s="3"/>
    </row>
    <row r="199" spans="1:10" s="21" customFormat="1">
      <c r="A199" s="37"/>
      <c r="F199" s="3"/>
      <c r="G199" s="3"/>
      <c r="H199" s="3"/>
      <c r="I199" s="3"/>
      <c r="J199" s="3"/>
    </row>
    <row r="200" spans="1:10" s="21" customFormat="1">
      <c r="A200" s="37"/>
      <c r="F200" s="3"/>
      <c r="G200" s="3"/>
      <c r="H200" s="3"/>
      <c r="I200" s="3"/>
      <c r="J200" s="3"/>
    </row>
    <row r="201" spans="1:10" s="21" customFormat="1">
      <c r="A201" s="37"/>
      <c r="F201" s="3"/>
      <c r="G201" s="3"/>
      <c r="H201" s="3"/>
      <c r="I201" s="3"/>
      <c r="J201" s="3"/>
    </row>
    <row r="202" spans="1:10" s="21" customFormat="1">
      <c r="A202" s="37"/>
      <c r="F202" s="3"/>
      <c r="G202" s="3"/>
      <c r="H202" s="3"/>
      <c r="I202" s="3"/>
      <c r="J202" s="3"/>
    </row>
    <row r="203" spans="1:10" s="21" customFormat="1">
      <c r="A203" s="37"/>
      <c r="F203" s="3"/>
      <c r="G203" s="3"/>
      <c r="H203" s="3"/>
      <c r="I203" s="3"/>
      <c r="J203" s="3"/>
    </row>
    <row r="204" spans="1:10" s="21" customFormat="1">
      <c r="A204" s="37"/>
      <c r="F204" s="3"/>
      <c r="G204" s="3"/>
      <c r="H204" s="3"/>
      <c r="I204" s="3"/>
      <c r="J204" s="3"/>
    </row>
    <row r="205" spans="1:10" s="21" customFormat="1">
      <c r="A205" s="37"/>
      <c r="F205" s="3"/>
      <c r="G205" s="3"/>
      <c r="H205" s="3"/>
      <c r="I205" s="3"/>
      <c r="J205" s="3"/>
    </row>
    <row r="206" spans="1:10" s="21" customFormat="1">
      <c r="A206" s="37"/>
      <c r="F206" s="3"/>
      <c r="G206" s="3"/>
      <c r="H206" s="3"/>
      <c r="I206" s="3"/>
      <c r="J206" s="3"/>
    </row>
    <row r="207" spans="1:10" s="21" customFormat="1">
      <c r="A207" s="37"/>
      <c r="F207" s="3"/>
      <c r="G207" s="3"/>
      <c r="H207" s="3"/>
      <c r="I207" s="3"/>
      <c r="J207" s="3"/>
    </row>
    <row r="208" spans="1:10" s="21" customFormat="1">
      <c r="A208" s="37"/>
      <c r="F208" s="3"/>
      <c r="G208" s="3"/>
      <c r="H208" s="3"/>
      <c r="I208" s="3"/>
      <c r="J208" s="3"/>
    </row>
    <row r="209" spans="1:10" s="21" customFormat="1">
      <c r="A209" s="37"/>
      <c r="F209" s="3"/>
      <c r="G209" s="3"/>
      <c r="H209" s="3"/>
      <c r="I209" s="3"/>
      <c r="J209" s="3"/>
    </row>
    <row r="210" spans="1:10" s="21" customFormat="1">
      <c r="A210" s="37"/>
      <c r="F210" s="3"/>
      <c r="G210" s="3"/>
      <c r="H210" s="3"/>
      <c r="I210" s="3"/>
      <c r="J210" s="3"/>
    </row>
    <row r="211" spans="1:10" s="21" customFormat="1">
      <c r="A211" s="37"/>
      <c r="F211" s="3"/>
      <c r="G211" s="3"/>
      <c r="H211" s="3"/>
      <c r="I211" s="3"/>
      <c r="J211" s="3"/>
    </row>
    <row r="212" spans="1:10" s="21" customFormat="1">
      <c r="A212" s="37"/>
      <c r="F212" s="3"/>
      <c r="G212" s="3"/>
      <c r="H212" s="3"/>
      <c r="I212" s="3"/>
      <c r="J212" s="3"/>
    </row>
    <row r="213" spans="1:10" s="21" customFormat="1">
      <c r="A213" s="37"/>
      <c r="F213" s="3"/>
      <c r="G213" s="3"/>
      <c r="H213" s="3"/>
      <c r="I213" s="3"/>
      <c r="J213" s="3"/>
    </row>
    <row r="214" spans="1:10" s="21" customFormat="1">
      <c r="A214" s="37"/>
      <c r="F214" s="3"/>
      <c r="G214" s="3"/>
      <c r="H214" s="3"/>
      <c r="I214" s="3"/>
      <c r="J214" s="3"/>
    </row>
    <row r="215" spans="1:10" s="21" customFormat="1">
      <c r="A215" s="37"/>
      <c r="F215" s="3"/>
      <c r="G215" s="3"/>
      <c r="H215" s="3"/>
      <c r="I215" s="3"/>
      <c r="J215" s="3"/>
    </row>
    <row r="216" spans="1:10" s="21" customFormat="1">
      <c r="A216" s="37"/>
      <c r="F216" s="3"/>
      <c r="G216" s="3"/>
      <c r="H216" s="3"/>
      <c r="I216" s="3"/>
      <c r="J216" s="3"/>
    </row>
    <row r="217" spans="1:10" s="21" customFormat="1">
      <c r="A217" s="37"/>
      <c r="F217" s="3"/>
      <c r="G217" s="3"/>
      <c r="H217" s="3"/>
      <c r="I217" s="3"/>
      <c r="J217" s="3"/>
    </row>
    <row r="218" spans="1:10" s="21" customFormat="1">
      <c r="A218" s="37"/>
      <c r="F218" s="3"/>
      <c r="G218" s="3"/>
      <c r="H218" s="3"/>
      <c r="I218" s="3"/>
      <c r="J218" s="3"/>
    </row>
    <row r="219" spans="1:10" s="21" customFormat="1">
      <c r="A219" s="37"/>
      <c r="F219" s="3"/>
      <c r="G219" s="3"/>
      <c r="H219" s="3"/>
      <c r="I219" s="3"/>
      <c r="J219" s="3"/>
    </row>
    <row r="220" spans="1:10" s="21" customFormat="1">
      <c r="A220" s="37"/>
      <c r="F220" s="3"/>
      <c r="G220" s="3"/>
      <c r="H220" s="3"/>
      <c r="I220" s="3"/>
      <c r="J220" s="3"/>
    </row>
    <row r="221" spans="1:10" s="21" customFormat="1">
      <c r="A221" s="37"/>
      <c r="F221" s="3"/>
      <c r="G221" s="3"/>
      <c r="H221" s="3"/>
      <c r="I221" s="3"/>
      <c r="J221" s="3"/>
    </row>
  </sheetData>
  <mergeCells count="20">
    <mergeCell ref="A8:J8"/>
    <mergeCell ref="A7:J7"/>
    <mergeCell ref="A10:J10"/>
    <mergeCell ref="A6:J6"/>
    <mergeCell ref="C52:F52"/>
    <mergeCell ref="H52:J52"/>
    <mergeCell ref="A12:A13"/>
    <mergeCell ref="B12:B13"/>
    <mergeCell ref="F12:F13"/>
    <mergeCell ref="G12:J12"/>
    <mergeCell ref="C51:F51"/>
    <mergeCell ref="H51:J51"/>
    <mergeCell ref="A46:J46"/>
    <mergeCell ref="A15:J15"/>
    <mergeCell ref="C12:C13"/>
    <mergeCell ref="A39:J39"/>
    <mergeCell ref="A31:J31"/>
    <mergeCell ref="A48:J48"/>
    <mergeCell ref="E12:E13"/>
    <mergeCell ref="D12:D13"/>
  </mergeCells>
  <phoneticPr fontId="3" type="noConversion"/>
  <pageMargins left="0.70866141732283472" right="0.31496062992125984" top="0.35433070866141736" bottom="0.15748031496062992" header="0.31496062992125984" footer="0.31496062992125984"/>
  <pageSetup paperSize="9" scale="64" fitToHeight="0" orientation="landscape" verticalDpi="300" r:id="rId1"/>
  <headerFooter alignWithMargins="0">
    <oddHeader xml:space="preserve">&amp;C&amp;"Times New Roman,обычный"&amp;14
&amp;R&amp;"Times New Roman,обычный"&amp;14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66"/>
    <pageSetUpPr fitToPage="1"/>
  </sheetPr>
  <dimension ref="A2:Q387"/>
  <sheetViews>
    <sheetView topLeftCell="A154" zoomScale="70" zoomScaleNormal="70" zoomScaleSheetLayoutView="55" workbookViewId="0">
      <selection activeCell="A148" sqref="A148"/>
    </sheetView>
  </sheetViews>
  <sheetFormatPr defaultColWidth="9.140625" defaultRowHeight="18.75" outlineLevelRow="1"/>
  <cols>
    <col min="1" max="1" width="61.85546875" style="3" customWidth="1"/>
    <col min="2" max="2" width="13.28515625" style="21" customWidth="1"/>
    <col min="3" max="9" width="16.28515625" style="21" customWidth="1"/>
    <col min="10" max="10" width="18" style="21" customWidth="1"/>
    <col min="11" max="11" width="16.85546875" style="3" customWidth="1"/>
    <col min="12" max="12" width="12.140625" style="286" customWidth="1"/>
    <col min="13" max="13" width="11.28515625" style="3" customWidth="1"/>
    <col min="14" max="14" width="12.42578125" style="3" customWidth="1"/>
    <col min="15" max="18" width="9.140625" style="3" customWidth="1"/>
    <col min="19" max="16384" width="9.140625" style="3"/>
  </cols>
  <sheetData>
    <row r="2" spans="1:12">
      <c r="A2" s="13"/>
      <c r="B2" s="13"/>
      <c r="C2" s="13"/>
      <c r="D2" s="13"/>
      <c r="E2" s="13"/>
      <c r="F2" s="13"/>
      <c r="G2" s="13"/>
      <c r="H2" s="13"/>
      <c r="I2" s="13"/>
      <c r="J2" s="13"/>
    </row>
    <row r="4" spans="1:12" ht="18.75" customHeight="1">
      <c r="A4" s="405" t="s">
        <v>200</v>
      </c>
      <c r="B4" s="405"/>
      <c r="C4" s="405"/>
      <c r="D4" s="405"/>
      <c r="E4" s="405"/>
      <c r="F4" s="405"/>
      <c r="G4" s="405"/>
      <c r="H4" s="405"/>
      <c r="I4" s="405"/>
      <c r="J4" s="405"/>
    </row>
    <row r="5" spans="1:12">
      <c r="A5" s="216"/>
      <c r="B5" s="40"/>
      <c r="C5" s="216"/>
      <c r="D5" s="216"/>
      <c r="E5" s="216"/>
      <c r="F5" s="216"/>
      <c r="G5" s="216"/>
      <c r="H5" s="216"/>
      <c r="I5" s="216"/>
      <c r="J5" s="216"/>
    </row>
    <row r="6" spans="1:12" ht="36" customHeight="1">
      <c r="A6" s="390" t="s">
        <v>197</v>
      </c>
      <c r="B6" s="391" t="s">
        <v>7</v>
      </c>
      <c r="C6" s="391" t="s">
        <v>17</v>
      </c>
      <c r="D6" s="398" t="s">
        <v>288</v>
      </c>
      <c r="E6" s="398" t="s">
        <v>284</v>
      </c>
      <c r="F6" s="391" t="s">
        <v>9</v>
      </c>
      <c r="G6" s="391" t="s">
        <v>285</v>
      </c>
      <c r="H6" s="391"/>
      <c r="I6" s="391"/>
      <c r="J6" s="391"/>
    </row>
    <row r="7" spans="1:12" ht="55.7" customHeight="1">
      <c r="A7" s="390"/>
      <c r="B7" s="391"/>
      <c r="C7" s="391"/>
      <c r="D7" s="407"/>
      <c r="E7" s="407"/>
      <c r="F7" s="391"/>
      <c r="G7" s="15" t="s">
        <v>156</v>
      </c>
      <c r="H7" s="15" t="s">
        <v>157</v>
      </c>
      <c r="I7" s="15" t="s">
        <v>158</v>
      </c>
      <c r="J7" s="15" t="s">
        <v>61</v>
      </c>
    </row>
    <row r="8" spans="1:12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2" s="5" customFormat="1" ht="52.5" customHeight="1">
      <c r="A9" s="408" t="s">
        <v>235</v>
      </c>
      <c r="B9" s="408"/>
      <c r="C9" s="408"/>
      <c r="D9" s="408"/>
      <c r="E9" s="408"/>
      <c r="F9" s="408"/>
      <c r="G9" s="408"/>
      <c r="H9" s="408"/>
      <c r="I9" s="408"/>
      <c r="J9" s="408"/>
      <c r="L9" s="287"/>
    </row>
    <row r="10" spans="1:12" s="5" customFormat="1" ht="47.65" customHeight="1">
      <c r="A10" s="229" t="s">
        <v>236</v>
      </c>
      <c r="B10" s="230">
        <v>1000</v>
      </c>
      <c r="C10" s="208">
        <f>C11+C12+C14+C30</f>
        <v>41668.800000000003</v>
      </c>
      <c r="D10" s="208">
        <f t="shared" ref="D10:J10" si="0">D11+D12+D14+D30</f>
        <v>55832.999999999993</v>
      </c>
      <c r="E10" s="208">
        <f t="shared" si="0"/>
        <v>61115</v>
      </c>
      <c r="F10" s="208">
        <f t="shared" si="0"/>
        <v>75384.899999999994</v>
      </c>
      <c r="G10" s="208">
        <f t="shared" si="0"/>
        <v>18551.5</v>
      </c>
      <c r="H10" s="208">
        <f t="shared" si="0"/>
        <v>19507.8</v>
      </c>
      <c r="I10" s="208">
        <f t="shared" si="0"/>
        <v>18388.599999999999</v>
      </c>
      <c r="J10" s="208">
        <f t="shared" si="0"/>
        <v>18937</v>
      </c>
      <c r="K10" s="282"/>
      <c r="L10" s="287"/>
    </row>
    <row r="11" spans="1:12" s="5" customFormat="1" ht="26.25" customHeight="1">
      <c r="A11" s="201" t="s">
        <v>239</v>
      </c>
      <c r="B11" s="7">
        <v>1010</v>
      </c>
      <c r="C11" s="212"/>
      <c r="D11" s="212"/>
      <c r="E11" s="212"/>
      <c r="F11" s="212">
        <f>I11+J11</f>
        <v>0</v>
      </c>
      <c r="G11" s="212"/>
      <c r="H11" s="212"/>
      <c r="I11" s="212"/>
      <c r="J11" s="212"/>
      <c r="K11" s="283"/>
      <c r="L11" s="287"/>
    </row>
    <row r="12" spans="1:12" s="5" customFormat="1" ht="27" customHeight="1">
      <c r="A12" s="245" t="s">
        <v>240</v>
      </c>
      <c r="B12" s="246">
        <v>1011</v>
      </c>
      <c r="C12" s="231">
        <f>SUM(C13:C13)</f>
        <v>0</v>
      </c>
      <c r="D12" s="231">
        <f>D13</f>
        <v>0</v>
      </c>
      <c r="E12" s="231">
        <f t="shared" ref="E12:J12" si="1">E13</f>
        <v>0</v>
      </c>
      <c r="F12" s="231">
        <f t="shared" si="1"/>
        <v>32243.599999999999</v>
      </c>
      <c r="G12" s="231">
        <f t="shared" si="1"/>
        <v>0</v>
      </c>
      <c r="H12" s="231">
        <f t="shared" si="1"/>
        <v>11342.4</v>
      </c>
      <c r="I12" s="231">
        <f t="shared" si="1"/>
        <v>10775.7</v>
      </c>
      <c r="J12" s="231">
        <f t="shared" si="1"/>
        <v>10125.5</v>
      </c>
      <c r="K12" s="284"/>
      <c r="L12" s="287"/>
    </row>
    <row r="13" spans="1:12" s="218" customFormat="1" ht="26.25" customHeight="1">
      <c r="A13" s="111" t="s">
        <v>370</v>
      </c>
      <c r="B13" s="217" t="s">
        <v>312</v>
      </c>
      <c r="C13" s="202"/>
      <c r="D13" s="202"/>
      <c r="E13" s="202"/>
      <c r="F13" s="202">
        <f>G13+H13+I13+J13</f>
        <v>32243.599999999999</v>
      </c>
      <c r="G13" s="202"/>
      <c r="H13" s="202">
        <v>11342.4</v>
      </c>
      <c r="I13" s="202">
        <v>10775.7</v>
      </c>
      <c r="J13" s="202">
        <v>10125.5</v>
      </c>
      <c r="K13" s="285"/>
      <c r="L13" s="288"/>
    </row>
    <row r="14" spans="1:12" s="5" customFormat="1" ht="29.45" customHeight="1">
      <c r="A14" s="245" t="s">
        <v>241</v>
      </c>
      <c r="B14" s="246">
        <v>1012</v>
      </c>
      <c r="C14" s="231">
        <f>SUM(C17:C29)+C15</f>
        <v>41668.800000000003</v>
      </c>
      <c r="D14" s="231">
        <f t="shared" ref="D14:J14" si="2">SUM(D17:D29)+D15</f>
        <v>55832.999999999993</v>
      </c>
      <c r="E14" s="231">
        <f t="shared" si="2"/>
        <v>59240.6</v>
      </c>
      <c r="F14" s="231">
        <f t="shared" si="2"/>
        <v>43141.3</v>
      </c>
      <c r="G14" s="231">
        <f t="shared" si="2"/>
        <v>18551.5</v>
      </c>
      <c r="H14" s="231">
        <f t="shared" si="2"/>
        <v>8165.4000000000005</v>
      </c>
      <c r="I14" s="231">
        <f t="shared" si="2"/>
        <v>7612.9</v>
      </c>
      <c r="J14" s="231">
        <f t="shared" si="2"/>
        <v>8811.5</v>
      </c>
      <c r="K14" s="5">
        <f>41668.8</f>
        <v>41668.800000000003</v>
      </c>
      <c r="L14" s="287"/>
    </row>
    <row r="15" spans="1:12" s="218" customFormat="1" ht="41.45" customHeight="1">
      <c r="A15" s="111" t="s">
        <v>369</v>
      </c>
      <c r="B15" s="217" t="s">
        <v>313</v>
      </c>
      <c r="C15" s="202">
        <v>1820.3</v>
      </c>
      <c r="D15" s="202">
        <v>2760.6</v>
      </c>
      <c r="E15" s="202">
        <f>4329.5-29.9</f>
        <v>4299.6000000000004</v>
      </c>
      <c r="F15" s="202">
        <f>G15+H15+I15+J15</f>
        <v>4492.8</v>
      </c>
      <c r="G15" s="202">
        <v>1455.3</v>
      </c>
      <c r="H15" s="202">
        <v>974.6</v>
      </c>
      <c r="I15" s="202">
        <v>422.2</v>
      </c>
      <c r="J15" s="202">
        <v>1640.7</v>
      </c>
      <c r="K15" s="218">
        <f>F15/E15*100</f>
        <v>104.49344125034887</v>
      </c>
      <c r="L15" s="288"/>
    </row>
    <row r="16" spans="1:12" s="218" customFormat="1" ht="27" customHeight="1">
      <c r="A16" s="111" t="s">
        <v>368</v>
      </c>
      <c r="B16" s="217" t="s">
        <v>314</v>
      </c>
      <c r="C16" s="202">
        <f>SUM(C17:C23)</f>
        <v>0</v>
      </c>
      <c r="D16" s="202">
        <f>SUM(D17:D23)</f>
        <v>0</v>
      </c>
      <c r="E16" s="202">
        <f t="shared" ref="E16:J16" si="3">SUM(E17:E23)</f>
        <v>0</v>
      </c>
      <c r="F16" s="202">
        <f t="shared" si="3"/>
        <v>0</v>
      </c>
      <c r="G16" s="202">
        <f t="shared" si="3"/>
        <v>0</v>
      </c>
      <c r="H16" s="202">
        <f t="shared" si="3"/>
        <v>0</v>
      </c>
      <c r="I16" s="202">
        <f t="shared" si="3"/>
        <v>0</v>
      </c>
      <c r="J16" s="202">
        <f t="shared" si="3"/>
        <v>0</v>
      </c>
      <c r="L16" s="288"/>
    </row>
    <row r="17" spans="1:12" s="218" customFormat="1" ht="58.9" customHeight="1">
      <c r="A17" s="268" t="s">
        <v>381</v>
      </c>
      <c r="B17" s="217" t="s">
        <v>388</v>
      </c>
      <c r="C17" s="202"/>
      <c r="D17" s="202"/>
      <c r="E17" s="202"/>
      <c r="F17" s="202">
        <f t="shared" ref="F17:F29" si="4">G17+H17+I17+J17</f>
        <v>0</v>
      </c>
      <c r="G17" s="202"/>
      <c r="H17" s="202"/>
      <c r="I17" s="202"/>
      <c r="J17" s="202"/>
      <c r="L17" s="288"/>
    </row>
    <row r="18" spans="1:12" s="218" customFormat="1" ht="57.6" customHeight="1">
      <c r="A18" s="268" t="s">
        <v>382</v>
      </c>
      <c r="B18" s="217" t="s">
        <v>389</v>
      </c>
      <c r="C18" s="202"/>
      <c r="D18" s="202"/>
      <c r="E18" s="202"/>
      <c r="F18" s="202">
        <f t="shared" si="4"/>
        <v>0</v>
      </c>
      <c r="G18" s="202"/>
      <c r="H18" s="202"/>
      <c r="I18" s="202"/>
      <c r="J18" s="202"/>
      <c r="L18" s="288"/>
    </row>
    <row r="19" spans="1:12" s="218" customFormat="1" ht="75.2" customHeight="1">
      <c r="A19" s="268" t="s">
        <v>383</v>
      </c>
      <c r="B19" s="217" t="s">
        <v>390</v>
      </c>
      <c r="C19" s="202"/>
      <c r="D19" s="202"/>
      <c r="E19" s="202"/>
      <c r="F19" s="202">
        <f t="shared" si="4"/>
        <v>0</v>
      </c>
      <c r="G19" s="202"/>
      <c r="H19" s="202"/>
      <c r="I19" s="202"/>
      <c r="J19" s="202"/>
      <c r="L19" s="288"/>
    </row>
    <row r="20" spans="1:12" s="218" customFormat="1" ht="27.6" customHeight="1">
      <c r="A20" s="268" t="s">
        <v>384</v>
      </c>
      <c r="B20" s="217" t="s">
        <v>391</v>
      </c>
      <c r="C20" s="202"/>
      <c r="D20" s="202"/>
      <c r="E20" s="202"/>
      <c r="F20" s="202">
        <f t="shared" si="4"/>
        <v>0</v>
      </c>
      <c r="G20" s="202"/>
      <c r="H20" s="202"/>
      <c r="I20" s="202"/>
      <c r="J20" s="202"/>
      <c r="L20" s="288"/>
    </row>
    <row r="21" spans="1:12" s="218" customFormat="1" ht="61.35" customHeight="1">
      <c r="A21" s="268" t="s">
        <v>385</v>
      </c>
      <c r="B21" s="217" t="s">
        <v>392</v>
      </c>
      <c r="C21" s="202"/>
      <c r="D21" s="202"/>
      <c r="E21" s="202"/>
      <c r="F21" s="202">
        <f t="shared" si="4"/>
        <v>0</v>
      </c>
      <c r="G21" s="202"/>
      <c r="H21" s="202"/>
      <c r="I21" s="202"/>
      <c r="J21" s="202"/>
      <c r="L21" s="288"/>
    </row>
    <row r="22" spans="1:12" s="218" customFormat="1" ht="36.4" customHeight="1">
      <c r="A22" s="268" t="s">
        <v>387</v>
      </c>
      <c r="B22" s="217" t="s">
        <v>393</v>
      </c>
      <c r="C22" s="202"/>
      <c r="D22" s="202"/>
      <c r="E22" s="202"/>
      <c r="F22" s="202">
        <f t="shared" si="4"/>
        <v>0</v>
      </c>
      <c r="G22" s="202"/>
      <c r="H22" s="202"/>
      <c r="I22" s="202"/>
      <c r="J22" s="202"/>
      <c r="L22" s="288"/>
    </row>
    <row r="23" spans="1:12" s="218" customFormat="1" ht="93.95" customHeight="1">
      <c r="A23" s="268" t="s">
        <v>386</v>
      </c>
      <c r="B23" s="217" t="s">
        <v>394</v>
      </c>
      <c r="C23" s="202"/>
      <c r="D23" s="202"/>
      <c r="E23" s="202"/>
      <c r="F23" s="202">
        <f t="shared" si="4"/>
        <v>0</v>
      </c>
      <c r="G23" s="202"/>
      <c r="H23" s="202"/>
      <c r="I23" s="202"/>
      <c r="J23" s="202"/>
      <c r="L23" s="288"/>
    </row>
    <row r="24" spans="1:12" s="218" customFormat="1" ht="27" customHeight="1">
      <c r="A24" s="111" t="s">
        <v>349</v>
      </c>
      <c r="B24" s="217" t="s">
        <v>315</v>
      </c>
      <c r="C24" s="202">
        <f>17302.5-274.3</f>
        <v>17028.2</v>
      </c>
      <c r="D24" s="202">
        <v>25762.799999999999</v>
      </c>
      <c r="E24" s="202">
        <v>26660.400000000001</v>
      </c>
      <c r="F24" s="202">
        <f t="shared" si="4"/>
        <v>8964.5</v>
      </c>
      <c r="G24" s="202">
        <v>8964.5</v>
      </c>
      <c r="H24" s="202"/>
      <c r="I24" s="202"/>
      <c r="J24" s="202"/>
      <c r="L24" s="288"/>
    </row>
    <row r="25" spans="1:12" s="218" customFormat="1" ht="75.2" customHeight="1">
      <c r="A25" s="111" t="s">
        <v>307</v>
      </c>
      <c r="B25" s="217" t="s">
        <v>316</v>
      </c>
      <c r="C25" s="202"/>
      <c r="D25" s="202"/>
      <c r="E25" s="202"/>
      <c r="F25" s="202">
        <f t="shared" si="4"/>
        <v>0</v>
      </c>
      <c r="G25" s="202"/>
      <c r="H25" s="202"/>
      <c r="I25" s="202"/>
      <c r="J25" s="202"/>
      <c r="L25" s="288"/>
    </row>
    <row r="26" spans="1:12" s="218" customFormat="1" ht="57.6" customHeight="1">
      <c r="A26" s="111" t="s">
        <v>308</v>
      </c>
      <c r="B26" s="217" t="s">
        <v>317</v>
      </c>
      <c r="C26" s="387"/>
      <c r="D26" s="202"/>
      <c r="E26" s="202"/>
      <c r="F26" s="202">
        <f t="shared" si="4"/>
        <v>0</v>
      </c>
      <c r="G26" s="202"/>
      <c r="H26" s="202"/>
      <c r="I26" s="202"/>
      <c r="J26" s="202"/>
      <c r="L26" s="288"/>
    </row>
    <row r="27" spans="1:12" s="218" customFormat="1" ht="59.45" customHeight="1">
      <c r="A27" s="111" t="s">
        <v>309</v>
      </c>
      <c r="B27" s="217" t="s">
        <v>350</v>
      </c>
      <c r="C27" s="202"/>
      <c r="D27" s="202"/>
      <c r="E27" s="202"/>
      <c r="F27" s="202">
        <f t="shared" si="4"/>
        <v>0</v>
      </c>
      <c r="G27" s="202"/>
      <c r="H27" s="202"/>
      <c r="I27" s="202"/>
      <c r="J27" s="202"/>
      <c r="L27" s="288"/>
    </row>
    <row r="28" spans="1:12" s="218" customFormat="1" ht="42" customHeight="1">
      <c r="A28" s="111" t="s">
        <v>310</v>
      </c>
      <c r="B28" s="217" t="s">
        <v>351</v>
      </c>
      <c r="C28" s="202"/>
      <c r="D28" s="202"/>
      <c r="E28" s="202"/>
      <c r="F28" s="202">
        <f t="shared" si="4"/>
        <v>0</v>
      </c>
      <c r="G28" s="202"/>
      <c r="H28" s="202"/>
      <c r="I28" s="202"/>
      <c r="J28" s="202"/>
      <c r="L28" s="288"/>
    </row>
    <row r="29" spans="1:12" s="218" customFormat="1" ht="59.45" customHeight="1">
      <c r="A29" s="111" t="s">
        <v>311</v>
      </c>
      <c r="B29" s="217" t="s">
        <v>352</v>
      </c>
      <c r="C29" s="202">
        <f>22820.3</f>
        <v>22820.3</v>
      </c>
      <c r="D29" s="202">
        <v>27309.599999999999</v>
      </c>
      <c r="E29" s="202">
        <v>28280.6</v>
      </c>
      <c r="F29" s="202">
        <f t="shared" si="4"/>
        <v>29684</v>
      </c>
      <c r="G29" s="202">
        <v>8131.7</v>
      </c>
      <c r="H29" s="202">
        <v>7190.8</v>
      </c>
      <c r="I29" s="202">
        <v>7190.7</v>
      </c>
      <c r="J29" s="202">
        <v>7170.8</v>
      </c>
      <c r="L29" s="288"/>
    </row>
    <row r="30" spans="1:12" s="5" customFormat="1" ht="28.9" customHeight="1">
      <c r="A30" s="245" t="s">
        <v>292</v>
      </c>
      <c r="B30" s="246">
        <v>1013</v>
      </c>
      <c r="C30" s="231"/>
      <c r="D30" s="231"/>
      <c r="E30" s="231">
        <v>1874.4</v>
      </c>
      <c r="F30" s="231">
        <f>G30+H30+I30+J30</f>
        <v>0</v>
      </c>
      <c r="G30" s="231"/>
      <c r="H30" s="231"/>
      <c r="I30" s="231"/>
      <c r="J30" s="231"/>
      <c r="L30" s="287"/>
    </row>
    <row r="31" spans="1:12" s="5" customFormat="1" ht="23.25" customHeight="1">
      <c r="A31" s="201" t="s">
        <v>237</v>
      </c>
      <c r="B31" s="7">
        <v>1020</v>
      </c>
      <c r="C31" s="212"/>
      <c r="D31" s="212"/>
      <c r="E31" s="212"/>
      <c r="F31" s="212">
        <f>G31+H31+I31+J31</f>
        <v>0</v>
      </c>
      <c r="G31" s="212"/>
      <c r="H31" s="212"/>
      <c r="I31" s="212"/>
      <c r="J31" s="212"/>
      <c r="L31" s="287"/>
    </row>
    <row r="32" spans="1:12" s="5" customFormat="1" ht="22.5" customHeight="1">
      <c r="A32" s="201" t="s">
        <v>238</v>
      </c>
      <c r="B32" s="7">
        <v>1030</v>
      </c>
      <c r="C32" s="212"/>
      <c r="D32" s="212"/>
      <c r="E32" s="212"/>
      <c r="F32" s="212">
        <f>G32+H32+I32+J32</f>
        <v>0</v>
      </c>
      <c r="G32" s="212"/>
      <c r="H32" s="212"/>
      <c r="I32" s="212"/>
      <c r="J32" s="212"/>
      <c r="L32" s="287"/>
    </row>
    <row r="33" spans="1:15" s="5" customFormat="1" ht="43.9" customHeight="1">
      <c r="A33" s="229" t="s">
        <v>95</v>
      </c>
      <c r="B33" s="207">
        <v>1040</v>
      </c>
      <c r="C33" s="208">
        <f>C10-C31-C32</f>
        <v>41668.800000000003</v>
      </c>
      <c r="D33" s="208">
        <f t="shared" ref="D33:J33" si="5">D10-D31-D32</f>
        <v>55832.999999999993</v>
      </c>
      <c r="E33" s="208">
        <f t="shared" si="5"/>
        <v>61115</v>
      </c>
      <c r="F33" s="208">
        <f t="shared" si="5"/>
        <v>75384.899999999994</v>
      </c>
      <c r="G33" s="208">
        <f t="shared" si="5"/>
        <v>18551.5</v>
      </c>
      <c r="H33" s="208">
        <f t="shared" si="5"/>
        <v>19507.8</v>
      </c>
      <c r="I33" s="208">
        <f t="shared" si="5"/>
        <v>18388.599999999999</v>
      </c>
      <c r="J33" s="208">
        <f t="shared" si="5"/>
        <v>18937</v>
      </c>
      <c r="K33" s="287">
        <f>L33-C33</f>
        <v>416.5</v>
      </c>
      <c r="L33" s="287">
        <v>42085.3</v>
      </c>
    </row>
    <row r="34" spans="1:15" ht="43.9" customHeight="1">
      <c r="A34" s="279" t="s">
        <v>111</v>
      </c>
      <c r="B34" s="209">
        <v>1050</v>
      </c>
      <c r="C34" s="269">
        <f t="shared" ref="C34:J34" si="6">SUM(C35:C42)</f>
        <v>41112.919000000002</v>
      </c>
      <c r="D34" s="269">
        <f t="shared" si="6"/>
        <v>53057.5</v>
      </c>
      <c r="E34" s="269">
        <f t="shared" si="6"/>
        <v>58135.200000000004</v>
      </c>
      <c r="F34" s="269">
        <f t="shared" si="6"/>
        <v>71423.600000000006</v>
      </c>
      <c r="G34" s="269">
        <f t="shared" si="6"/>
        <v>17533.100000000002</v>
      </c>
      <c r="H34" s="269">
        <f t="shared" si="6"/>
        <v>18436.300000000003</v>
      </c>
      <c r="I34" s="269">
        <f t="shared" si="6"/>
        <v>17401.100000000002</v>
      </c>
      <c r="J34" s="269">
        <f t="shared" si="6"/>
        <v>18053.099999999999</v>
      </c>
      <c r="K34" s="278">
        <f>L34-C34</f>
        <v>1179.9809999999998</v>
      </c>
      <c r="L34" s="286">
        <v>42292.9</v>
      </c>
      <c r="M34" s="278"/>
      <c r="N34" s="278"/>
      <c r="O34" s="278"/>
    </row>
    <row r="35" spans="1:15" s="2" customFormat="1" ht="30.75" customHeight="1">
      <c r="A35" s="8" t="s">
        <v>371</v>
      </c>
      <c r="B35" s="9">
        <v>1051</v>
      </c>
      <c r="C35" s="106">
        <f>2251.219+1194</f>
        <v>3445.2190000000001</v>
      </c>
      <c r="D35" s="219">
        <v>2046.4</v>
      </c>
      <c r="E35" s="219">
        <v>4111.7</v>
      </c>
      <c r="F35" s="212">
        <f t="shared" ref="F35:F41" si="7">G35+H35+I35+J35</f>
        <v>6176.1</v>
      </c>
      <c r="G35" s="220">
        <v>1065.5999999999999</v>
      </c>
      <c r="H35" s="271">
        <f>960+845.5</f>
        <v>1805.5</v>
      </c>
      <c r="I35" s="271">
        <f>960+830</f>
        <v>1790</v>
      </c>
      <c r="J35" s="271">
        <f>940+575</f>
        <v>1515</v>
      </c>
      <c r="L35" s="289"/>
    </row>
    <row r="36" spans="1:15" s="2" customFormat="1" ht="28.9" customHeight="1">
      <c r="A36" s="8" t="s">
        <v>53</v>
      </c>
      <c r="B36" s="9">
        <v>1052</v>
      </c>
      <c r="C36" s="106">
        <v>198</v>
      </c>
      <c r="D36" s="219">
        <v>199</v>
      </c>
      <c r="E36" s="219">
        <v>150</v>
      </c>
      <c r="F36" s="212">
        <f t="shared" si="7"/>
        <v>199</v>
      </c>
      <c r="G36" s="220"/>
      <c r="H36" s="220">
        <v>199</v>
      </c>
      <c r="I36" s="220"/>
      <c r="J36" s="220"/>
      <c r="L36" s="289"/>
    </row>
    <row r="37" spans="1:15" s="2" customFormat="1" ht="24.4" customHeight="1">
      <c r="A37" s="232" t="s">
        <v>52</v>
      </c>
      <c r="B37" s="233">
        <v>1053</v>
      </c>
      <c r="C37" s="234">
        <f>682.2-C107</f>
        <v>628.80000000000007</v>
      </c>
      <c r="D37" s="235">
        <v>638.9</v>
      </c>
      <c r="E37" s="235">
        <f>1020.7-E107+113.9</f>
        <v>1087.9000000000001</v>
      </c>
      <c r="F37" s="231">
        <f t="shared" si="7"/>
        <v>1131.8999999999999</v>
      </c>
      <c r="G37" s="236">
        <v>275.2</v>
      </c>
      <c r="H37" s="236">
        <v>284.89999999999998</v>
      </c>
      <c r="I37" s="236">
        <v>285.89999999999998</v>
      </c>
      <c r="J37" s="236">
        <v>285.89999999999998</v>
      </c>
      <c r="L37" s="289"/>
    </row>
    <row r="38" spans="1:15" s="2" customFormat="1" ht="28.9" customHeight="1">
      <c r="A38" s="8" t="s">
        <v>27</v>
      </c>
      <c r="B38" s="9">
        <v>1054</v>
      </c>
      <c r="C38" s="106">
        <f>26968.6-675.8</f>
        <v>26292.799999999999</v>
      </c>
      <c r="D38" s="106">
        <f>38783.5-901</f>
        <v>37882.5</v>
      </c>
      <c r="E38" s="106">
        <f>39346.5-E89</f>
        <v>38400.800000000003</v>
      </c>
      <c r="F38" s="212">
        <f t="shared" si="7"/>
        <v>46835.8</v>
      </c>
      <c r="G38" s="220">
        <f>12477.6-G89</f>
        <v>12218.6</v>
      </c>
      <c r="H38" s="271">
        <f>11798.1-H89</f>
        <v>11539.1</v>
      </c>
      <c r="I38" s="271">
        <f>11798.1-I89</f>
        <v>11539.1</v>
      </c>
      <c r="J38" s="271">
        <f>11798.1-J89</f>
        <v>11539</v>
      </c>
      <c r="K38" s="295"/>
      <c r="L38" s="289"/>
    </row>
    <row r="39" spans="1:15" s="2" customFormat="1" ht="30" customHeight="1">
      <c r="A39" s="8" t="s">
        <v>28</v>
      </c>
      <c r="B39" s="9">
        <v>1055</v>
      </c>
      <c r="C39" s="106">
        <f>5284.8-212.8-5.2</f>
        <v>5066.8</v>
      </c>
      <c r="D39" s="106">
        <f>7655.3-180-103.8</f>
        <v>7371.5</v>
      </c>
      <c r="E39" s="106">
        <f>7757.2-E90</f>
        <v>7552</v>
      </c>
      <c r="F39" s="212">
        <f t="shared" si="7"/>
        <v>9346</v>
      </c>
      <c r="G39" s="220">
        <f>2291.3-G90</f>
        <v>2234.3000000000002</v>
      </c>
      <c r="H39" s="271">
        <f>2427.6-G90</f>
        <v>2370.6</v>
      </c>
      <c r="I39" s="271">
        <f>2427.5-I90</f>
        <v>2370.5</v>
      </c>
      <c r="J39" s="271">
        <f>2427.5-J90</f>
        <v>2370.6</v>
      </c>
      <c r="L39" s="289"/>
    </row>
    <row r="40" spans="1:15" s="2" customFormat="1" ht="55.15" customHeight="1">
      <c r="A40" s="8" t="s">
        <v>192</v>
      </c>
      <c r="B40" s="9">
        <v>1056</v>
      </c>
      <c r="C40" s="106">
        <f>742.5+53.6</f>
        <v>796.1</v>
      </c>
      <c r="D40" s="106">
        <v>759.4</v>
      </c>
      <c r="E40" s="106">
        <v>178</v>
      </c>
      <c r="F40" s="212">
        <f t="shared" si="7"/>
        <v>173.7</v>
      </c>
      <c r="G40" s="220"/>
      <c r="H40" s="220">
        <v>82.1</v>
      </c>
      <c r="I40" s="220">
        <v>91.6</v>
      </c>
      <c r="J40" s="220"/>
      <c r="L40" s="289"/>
    </row>
    <row r="41" spans="1:15" s="122" customFormat="1" ht="25.7" customHeight="1">
      <c r="A41" s="121" t="s">
        <v>51</v>
      </c>
      <c r="B41" s="277">
        <v>1057</v>
      </c>
      <c r="C41" s="274">
        <f>1113.4+727</f>
        <v>1840.4</v>
      </c>
      <c r="D41" s="272">
        <v>550.6</v>
      </c>
      <c r="E41" s="272">
        <v>725.3</v>
      </c>
      <c r="F41" s="273">
        <f t="shared" si="7"/>
        <v>870.4</v>
      </c>
      <c r="G41" s="271"/>
      <c r="H41" s="271">
        <f>217.6+217.6</f>
        <v>435.2</v>
      </c>
      <c r="I41" s="271">
        <v>217.6</v>
      </c>
      <c r="J41" s="271">
        <v>217.6</v>
      </c>
      <c r="L41" s="290"/>
    </row>
    <row r="42" spans="1:15" s="17" customFormat="1" ht="32.65" customHeight="1">
      <c r="A42" s="203" t="s">
        <v>109</v>
      </c>
      <c r="B42" s="204">
        <v>1058</v>
      </c>
      <c r="C42" s="206">
        <f>(C43+C47+C48)</f>
        <v>2844.8</v>
      </c>
      <c r="D42" s="206">
        <f t="shared" ref="D42:J42" si="8">(D43+D47+D48)</f>
        <v>3609.2000000000003</v>
      </c>
      <c r="E42" s="206">
        <f t="shared" si="8"/>
        <v>5929.5</v>
      </c>
      <c r="F42" s="206">
        <f t="shared" si="8"/>
        <v>6690.7</v>
      </c>
      <c r="G42" s="206">
        <f t="shared" si="8"/>
        <v>1739.4</v>
      </c>
      <c r="H42" s="206">
        <f t="shared" si="8"/>
        <v>1719.9</v>
      </c>
      <c r="I42" s="206">
        <f t="shared" si="8"/>
        <v>1106.4000000000001</v>
      </c>
      <c r="J42" s="206">
        <f t="shared" si="8"/>
        <v>2125</v>
      </c>
      <c r="L42" s="291"/>
    </row>
    <row r="43" spans="1:15" s="2" customFormat="1" ht="33.200000000000003" customHeight="1">
      <c r="A43" s="243" t="s">
        <v>298</v>
      </c>
      <c r="B43" s="233" t="s">
        <v>302</v>
      </c>
      <c r="C43" s="234">
        <f>C45+C46</f>
        <v>1013.3000000000001</v>
      </c>
      <c r="D43" s="234">
        <f t="shared" ref="D43:J43" si="9">D45+D46</f>
        <v>1951.3</v>
      </c>
      <c r="E43" s="234">
        <f t="shared" si="9"/>
        <v>2940.2</v>
      </c>
      <c r="F43" s="234">
        <f t="shared" si="9"/>
        <v>3298.7000000000003</v>
      </c>
      <c r="G43" s="234">
        <f t="shared" si="9"/>
        <v>1164.5</v>
      </c>
      <c r="H43" s="234">
        <f t="shared" si="9"/>
        <v>674.2</v>
      </c>
      <c r="I43" s="234">
        <f t="shared" si="9"/>
        <v>120.7</v>
      </c>
      <c r="J43" s="234">
        <f t="shared" si="9"/>
        <v>1339.3</v>
      </c>
      <c r="L43" s="289"/>
    </row>
    <row r="44" spans="1:15" s="255" customFormat="1" ht="27.6" customHeight="1">
      <c r="A44" s="111" t="s">
        <v>299</v>
      </c>
      <c r="B44" s="251"/>
      <c r="C44" s="202"/>
      <c r="D44" s="202"/>
      <c r="E44" s="202"/>
      <c r="F44" s="202"/>
      <c r="G44" s="257"/>
      <c r="H44" s="257"/>
      <c r="I44" s="257"/>
      <c r="J44" s="257"/>
      <c r="L44" s="292"/>
    </row>
    <row r="45" spans="1:15" s="255" customFormat="1" ht="26.25" customHeight="1">
      <c r="A45" s="111" t="s">
        <v>300</v>
      </c>
      <c r="B45" s="251" t="s">
        <v>304</v>
      </c>
      <c r="C45" s="202">
        <f>980.9-C106</f>
        <v>900.6</v>
      </c>
      <c r="D45" s="202">
        <v>1805.2</v>
      </c>
      <c r="E45" s="202">
        <f>2910.2-E106-24.1</f>
        <v>2759.5</v>
      </c>
      <c r="F45" s="202">
        <f>G45+H45+I45+J45</f>
        <v>3061.8</v>
      </c>
      <c r="G45" s="257">
        <v>1105.3</v>
      </c>
      <c r="H45" s="257">
        <v>615</v>
      </c>
      <c r="I45" s="257">
        <v>61.5</v>
      </c>
      <c r="J45" s="257">
        <v>1280</v>
      </c>
      <c r="L45" s="292"/>
    </row>
    <row r="46" spans="1:15" s="255" customFormat="1" ht="31.35" customHeight="1">
      <c r="A46" s="111" t="s">
        <v>301</v>
      </c>
      <c r="B46" s="251" t="s">
        <v>305</v>
      </c>
      <c r="C46" s="202">
        <f>157.3-C108</f>
        <v>112.70000000000002</v>
      </c>
      <c r="D46" s="202">
        <v>146.1</v>
      </c>
      <c r="E46" s="202">
        <f>330.1-E108-119.7</f>
        <v>180.70000000000005</v>
      </c>
      <c r="F46" s="202">
        <f>G46+H46+I46+J46</f>
        <v>236.90000000000003</v>
      </c>
      <c r="G46" s="257">
        <v>59.2</v>
      </c>
      <c r="H46" s="257">
        <v>59.2</v>
      </c>
      <c r="I46" s="257">
        <v>59.2</v>
      </c>
      <c r="J46" s="257">
        <v>59.3</v>
      </c>
      <c r="L46" s="292"/>
    </row>
    <row r="47" spans="1:15" s="255" customFormat="1" ht="25.15" customHeight="1">
      <c r="A47" s="111" t="s">
        <v>402</v>
      </c>
      <c r="B47" s="251" t="s">
        <v>303</v>
      </c>
      <c r="C47" s="202">
        <f>2186.4-936.3</f>
        <v>1250.1000000000001</v>
      </c>
      <c r="D47" s="202">
        <v>1101</v>
      </c>
      <c r="E47" s="202">
        <v>1829.3</v>
      </c>
      <c r="F47" s="202">
        <f>G47+H47+I47+J47</f>
        <v>2359.2999999999997</v>
      </c>
      <c r="G47" s="257">
        <v>364.5</v>
      </c>
      <c r="H47" s="270">
        <v>731.6</v>
      </c>
      <c r="I47" s="270">
        <v>731.6</v>
      </c>
      <c r="J47" s="270">
        <v>531.6</v>
      </c>
      <c r="L47" s="292"/>
    </row>
    <row r="48" spans="1:15" s="2" customFormat="1" ht="25.15" customHeight="1">
      <c r="A48" s="243" t="s">
        <v>396</v>
      </c>
      <c r="B48" s="233" t="s">
        <v>407</v>
      </c>
      <c r="C48" s="234">
        <f>SUM(C49:C75)</f>
        <v>581.4</v>
      </c>
      <c r="D48" s="234">
        <f t="shared" ref="D48:J48" si="10">SUM(D49:D75)</f>
        <v>556.90000000000009</v>
      </c>
      <c r="E48" s="234">
        <f t="shared" si="10"/>
        <v>1160</v>
      </c>
      <c r="F48" s="234">
        <f t="shared" si="10"/>
        <v>1032.6999999999998</v>
      </c>
      <c r="G48" s="234">
        <f t="shared" si="10"/>
        <v>210.39999999999998</v>
      </c>
      <c r="H48" s="234">
        <f t="shared" si="10"/>
        <v>314.09999999999997</v>
      </c>
      <c r="I48" s="234">
        <f t="shared" si="10"/>
        <v>254.09999999999997</v>
      </c>
      <c r="J48" s="234">
        <f t="shared" si="10"/>
        <v>254.09999999999997</v>
      </c>
      <c r="L48" s="289"/>
    </row>
    <row r="49" spans="1:12" s="255" customFormat="1" ht="52.5" hidden="1" customHeight="1" outlineLevel="1">
      <c r="A49" s="111" t="s">
        <v>299</v>
      </c>
      <c r="B49" s="258"/>
      <c r="C49" s="259"/>
      <c r="D49" s="256"/>
      <c r="E49" s="256"/>
      <c r="F49" s="202"/>
      <c r="G49" s="256"/>
      <c r="H49" s="257"/>
      <c r="I49" s="257"/>
      <c r="J49" s="257"/>
      <c r="L49" s="292"/>
    </row>
    <row r="50" spans="1:12" s="255" customFormat="1" ht="52.5" hidden="1" customHeight="1" outlineLevel="1">
      <c r="A50" s="111" t="s">
        <v>357</v>
      </c>
      <c r="B50" s="249"/>
      <c r="C50" s="259">
        <f>30+2+10</f>
        <v>42</v>
      </c>
      <c r="D50" s="256">
        <v>67</v>
      </c>
      <c r="E50" s="256">
        <v>119</v>
      </c>
      <c r="F50" s="202">
        <f t="shared" ref="F50:F75" si="11">G50+H50+I50+J50</f>
        <v>184</v>
      </c>
      <c r="G50" s="256">
        <v>46</v>
      </c>
      <c r="H50" s="256">
        <v>46</v>
      </c>
      <c r="I50" s="256">
        <v>46</v>
      </c>
      <c r="J50" s="256">
        <v>46</v>
      </c>
      <c r="L50" s="292"/>
    </row>
    <row r="51" spans="1:12" s="255" customFormat="1" ht="52.5" hidden="1" customHeight="1" outlineLevel="1">
      <c r="A51" s="111" t="s">
        <v>358</v>
      </c>
      <c r="B51" s="251"/>
      <c r="C51" s="259">
        <v>199.9</v>
      </c>
      <c r="D51" s="256">
        <v>199.2</v>
      </c>
      <c r="E51" s="256">
        <v>595.5</v>
      </c>
      <c r="F51" s="202">
        <f t="shared" si="11"/>
        <v>598.79999999999995</v>
      </c>
      <c r="G51" s="256">
        <v>109.7</v>
      </c>
      <c r="H51" s="256">
        <v>189.7</v>
      </c>
      <c r="I51" s="256">
        <v>149.69999999999999</v>
      </c>
      <c r="J51" s="256">
        <v>149.69999999999999</v>
      </c>
      <c r="L51" s="292"/>
    </row>
    <row r="52" spans="1:12" s="255" customFormat="1" ht="52.5" hidden="1" customHeight="1" outlineLevel="1">
      <c r="A52" s="111" t="s">
        <v>359</v>
      </c>
      <c r="B52" s="249"/>
      <c r="C52" s="259">
        <v>79</v>
      </c>
      <c r="D52" s="256">
        <v>85.2</v>
      </c>
      <c r="E52" s="256">
        <v>85.2</v>
      </c>
      <c r="F52" s="202">
        <f t="shared" si="11"/>
        <v>94.9</v>
      </c>
      <c r="G52" s="256">
        <v>20</v>
      </c>
      <c r="H52" s="256">
        <v>27.7</v>
      </c>
      <c r="I52" s="256">
        <v>23.6</v>
      </c>
      <c r="J52" s="256">
        <v>23.6</v>
      </c>
      <c r="L52" s="292"/>
    </row>
    <row r="53" spans="1:12" s="255" customFormat="1" ht="52.5" hidden="1" customHeight="1" outlineLevel="1">
      <c r="A53" s="111" t="s">
        <v>360</v>
      </c>
      <c r="B53" s="251"/>
      <c r="C53" s="259">
        <f>11.2+7.4</f>
        <v>18.600000000000001</v>
      </c>
      <c r="D53" s="256">
        <v>2</v>
      </c>
      <c r="E53" s="256">
        <v>2</v>
      </c>
      <c r="F53" s="202">
        <f t="shared" si="11"/>
        <v>16</v>
      </c>
      <c r="G53" s="256"/>
      <c r="H53" s="257">
        <v>16</v>
      </c>
      <c r="I53" s="202"/>
      <c r="J53" s="202"/>
      <c r="L53" s="292"/>
    </row>
    <row r="54" spans="1:12" s="255" customFormat="1" ht="52.5" hidden="1" customHeight="1" outlineLevel="1">
      <c r="A54" s="111" t="s">
        <v>361</v>
      </c>
      <c r="B54" s="249"/>
      <c r="C54" s="259">
        <v>161.4</v>
      </c>
      <c r="D54" s="256">
        <v>173.3</v>
      </c>
      <c r="E54" s="256">
        <f>173.3-22.5</f>
        <v>150.80000000000001</v>
      </c>
      <c r="F54" s="202">
        <f t="shared" si="11"/>
        <v>0</v>
      </c>
      <c r="G54" s="256"/>
      <c r="H54" s="257"/>
      <c r="I54" s="202"/>
      <c r="J54" s="202"/>
      <c r="L54" s="292"/>
    </row>
    <row r="55" spans="1:12" s="255" customFormat="1" ht="84" hidden="1" customHeight="1" outlineLevel="1">
      <c r="A55" s="111" t="s">
        <v>363</v>
      </c>
      <c r="B55" s="251"/>
      <c r="C55" s="202"/>
      <c r="D55" s="256"/>
      <c r="E55" s="256"/>
      <c r="F55" s="202">
        <f t="shared" si="11"/>
        <v>0</v>
      </c>
      <c r="G55" s="257"/>
      <c r="H55" s="257"/>
      <c r="I55" s="202"/>
      <c r="J55" s="202"/>
      <c r="L55" s="292"/>
    </row>
    <row r="56" spans="1:12" s="255" customFormat="1" ht="52.5" hidden="1" customHeight="1" outlineLevel="1">
      <c r="A56" s="111" t="s">
        <v>362</v>
      </c>
      <c r="B56" s="249"/>
      <c r="C56" s="202">
        <v>28.1</v>
      </c>
      <c r="D56" s="256">
        <v>30.2</v>
      </c>
      <c r="E56" s="256">
        <v>57</v>
      </c>
      <c r="F56" s="202">
        <f t="shared" si="11"/>
        <v>0</v>
      </c>
      <c r="G56" s="257"/>
      <c r="H56" s="257"/>
      <c r="I56" s="202"/>
      <c r="J56" s="202"/>
      <c r="L56" s="292"/>
    </row>
    <row r="57" spans="1:12" s="255" customFormat="1" ht="52.5" hidden="1" customHeight="1" outlineLevel="1">
      <c r="A57" s="111" t="s">
        <v>364</v>
      </c>
      <c r="B57" s="251"/>
      <c r="C57" s="202"/>
      <c r="D57" s="256"/>
      <c r="E57" s="256">
        <v>30</v>
      </c>
      <c r="F57" s="202">
        <f t="shared" si="11"/>
        <v>0</v>
      </c>
      <c r="G57" s="257"/>
      <c r="H57" s="257"/>
      <c r="I57" s="202"/>
      <c r="J57" s="202"/>
      <c r="L57" s="292"/>
    </row>
    <row r="58" spans="1:12" s="255" customFormat="1" ht="52.5" hidden="1" customHeight="1" outlineLevel="1">
      <c r="A58" s="111" t="s">
        <v>365</v>
      </c>
      <c r="B58" s="249"/>
      <c r="C58" s="202"/>
      <c r="D58" s="256"/>
      <c r="E58" s="256"/>
      <c r="F58" s="202">
        <f t="shared" si="11"/>
        <v>0</v>
      </c>
      <c r="G58" s="257"/>
      <c r="H58" s="257"/>
      <c r="I58" s="202"/>
      <c r="J58" s="202"/>
      <c r="L58" s="292"/>
    </row>
    <row r="59" spans="1:12" s="255" customFormat="1" ht="52.5" hidden="1" customHeight="1" outlineLevel="1">
      <c r="A59" s="111" t="s">
        <v>366</v>
      </c>
      <c r="B59" s="251"/>
      <c r="C59" s="202"/>
      <c r="D59" s="256"/>
      <c r="E59" s="256">
        <v>52</v>
      </c>
      <c r="F59" s="202">
        <f t="shared" si="11"/>
        <v>76.8</v>
      </c>
      <c r="G59" s="257">
        <v>19.2</v>
      </c>
      <c r="H59" s="257">
        <v>19.2</v>
      </c>
      <c r="I59" s="257">
        <v>19.2</v>
      </c>
      <c r="J59" s="257">
        <v>19.2</v>
      </c>
      <c r="L59" s="292"/>
    </row>
    <row r="60" spans="1:12" s="255" customFormat="1" ht="52.5" hidden="1" customHeight="1" outlineLevel="1">
      <c r="A60" s="111" t="s">
        <v>367</v>
      </c>
      <c r="B60" s="249"/>
      <c r="C60" s="202">
        <v>52.4</v>
      </c>
      <c r="D60" s="256"/>
      <c r="E60" s="256">
        <v>68.5</v>
      </c>
      <c r="F60" s="202">
        <f t="shared" si="11"/>
        <v>62.2</v>
      </c>
      <c r="G60" s="257">
        <v>15.5</v>
      </c>
      <c r="H60" s="257">
        <v>15.5</v>
      </c>
      <c r="I60" s="202">
        <v>15.6</v>
      </c>
      <c r="J60" s="202">
        <v>15.6</v>
      </c>
      <c r="L60" s="292"/>
    </row>
    <row r="61" spans="1:12" s="255" customFormat="1" ht="52.5" hidden="1" customHeight="1" outlineLevel="1">
      <c r="A61" s="111"/>
      <c r="B61" s="251"/>
      <c r="C61" s="202"/>
      <c r="D61" s="256"/>
      <c r="E61" s="256"/>
      <c r="F61" s="202">
        <f t="shared" si="11"/>
        <v>0</v>
      </c>
      <c r="G61" s="257"/>
      <c r="H61" s="257"/>
      <c r="I61" s="202"/>
      <c r="J61" s="202"/>
      <c r="L61" s="292"/>
    </row>
    <row r="62" spans="1:12" s="255" customFormat="1" ht="52.5" hidden="1" customHeight="1" outlineLevel="1">
      <c r="A62" s="111"/>
      <c r="B62" s="249"/>
      <c r="C62" s="202"/>
      <c r="D62" s="256"/>
      <c r="E62" s="256"/>
      <c r="F62" s="202">
        <f t="shared" si="11"/>
        <v>0</v>
      </c>
      <c r="G62" s="257"/>
      <c r="H62" s="257"/>
      <c r="I62" s="202"/>
      <c r="J62" s="202"/>
      <c r="L62" s="292"/>
    </row>
    <row r="63" spans="1:12" s="255" customFormat="1" ht="52.5" hidden="1" customHeight="1" outlineLevel="1">
      <c r="A63" s="111"/>
      <c r="B63" s="251"/>
      <c r="C63" s="202"/>
      <c r="D63" s="256"/>
      <c r="E63" s="256"/>
      <c r="F63" s="202">
        <f t="shared" si="11"/>
        <v>0</v>
      </c>
      <c r="G63" s="257"/>
      <c r="H63" s="257"/>
      <c r="I63" s="202"/>
      <c r="J63" s="202"/>
      <c r="L63" s="292"/>
    </row>
    <row r="64" spans="1:12" s="255" customFormat="1" ht="52.5" hidden="1" customHeight="1" outlineLevel="1">
      <c r="A64" s="111"/>
      <c r="B64" s="249"/>
      <c r="C64" s="202"/>
      <c r="D64" s="256"/>
      <c r="E64" s="256"/>
      <c r="F64" s="202">
        <f t="shared" si="11"/>
        <v>0</v>
      </c>
      <c r="G64" s="257"/>
      <c r="H64" s="257"/>
      <c r="I64" s="202"/>
      <c r="J64" s="202"/>
      <c r="L64" s="292"/>
    </row>
    <row r="65" spans="1:12" s="255" customFormat="1" ht="52.5" hidden="1" customHeight="1" outlineLevel="1">
      <c r="A65" s="111"/>
      <c r="B65" s="251"/>
      <c r="C65" s="202"/>
      <c r="D65" s="256"/>
      <c r="E65" s="256"/>
      <c r="F65" s="202">
        <f t="shared" si="11"/>
        <v>0</v>
      </c>
      <c r="G65" s="257"/>
      <c r="H65" s="257"/>
      <c r="I65" s="202"/>
      <c r="J65" s="202"/>
      <c r="L65" s="292"/>
    </row>
    <row r="66" spans="1:12" s="255" customFormat="1" ht="52.5" hidden="1" customHeight="1" outlineLevel="1">
      <c r="A66" s="111"/>
      <c r="B66" s="249"/>
      <c r="C66" s="202"/>
      <c r="D66" s="256"/>
      <c r="E66" s="256"/>
      <c r="F66" s="202">
        <f t="shared" si="11"/>
        <v>0</v>
      </c>
      <c r="G66" s="257"/>
      <c r="H66" s="257"/>
      <c r="I66" s="202"/>
      <c r="J66" s="202"/>
      <c r="L66" s="292"/>
    </row>
    <row r="67" spans="1:12" s="255" customFormat="1" ht="52.5" hidden="1" customHeight="1" outlineLevel="1">
      <c r="A67" s="111"/>
      <c r="B67" s="251"/>
      <c r="C67" s="202"/>
      <c r="D67" s="256"/>
      <c r="E67" s="256"/>
      <c r="F67" s="202">
        <f t="shared" si="11"/>
        <v>0</v>
      </c>
      <c r="G67" s="257"/>
      <c r="H67" s="257"/>
      <c r="I67" s="202"/>
      <c r="J67" s="202"/>
      <c r="L67" s="292"/>
    </row>
    <row r="68" spans="1:12" s="255" customFormat="1" ht="52.5" hidden="1" customHeight="1" outlineLevel="1">
      <c r="A68" s="111"/>
      <c r="B68" s="249"/>
      <c r="C68" s="202"/>
      <c r="D68" s="256"/>
      <c r="E68" s="256"/>
      <c r="F68" s="202">
        <f t="shared" si="11"/>
        <v>0</v>
      </c>
      <c r="G68" s="257"/>
      <c r="H68" s="257"/>
      <c r="I68" s="202"/>
      <c r="J68" s="202"/>
      <c r="L68" s="292"/>
    </row>
    <row r="69" spans="1:12" s="255" customFormat="1" ht="52.5" hidden="1" customHeight="1" outlineLevel="1">
      <c r="A69" s="111"/>
      <c r="B69" s="251"/>
      <c r="C69" s="202"/>
      <c r="D69" s="256"/>
      <c r="E69" s="256"/>
      <c r="F69" s="202">
        <f t="shared" si="11"/>
        <v>0</v>
      </c>
      <c r="G69" s="202"/>
      <c r="H69" s="202"/>
      <c r="I69" s="202"/>
      <c r="J69" s="202"/>
      <c r="L69" s="292"/>
    </row>
    <row r="70" spans="1:12" s="255" customFormat="1" ht="52.5" hidden="1" customHeight="1" outlineLevel="1">
      <c r="A70" s="111"/>
      <c r="B70" s="249"/>
      <c r="C70" s="202"/>
      <c r="D70" s="256"/>
      <c r="E70" s="256"/>
      <c r="F70" s="202">
        <f>G70+H70+I70+J70</f>
        <v>0</v>
      </c>
      <c r="G70" s="202"/>
      <c r="H70" s="202"/>
      <c r="I70" s="202"/>
      <c r="J70" s="202"/>
      <c r="L70" s="292"/>
    </row>
    <row r="71" spans="1:12" s="255" customFormat="1" ht="52.5" hidden="1" customHeight="1" outlineLevel="1">
      <c r="A71" s="111"/>
      <c r="B71" s="249"/>
      <c r="C71" s="202"/>
      <c r="D71" s="256"/>
      <c r="E71" s="256"/>
      <c r="F71" s="202">
        <f>G71+H71+I71+J71</f>
        <v>0</v>
      </c>
      <c r="G71" s="202"/>
      <c r="H71" s="202"/>
      <c r="I71" s="202"/>
      <c r="J71" s="202"/>
      <c r="L71" s="292"/>
    </row>
    <row r="72" spans="1:12" s="255" customFormat="1" ht="52.5" hidden="1" customHeight="1" outlineLevel="1">
      <c r="A72" s="111"/>
      <c r="B72" s="249"/>
      <c r="C72" s="202"/>
      <c r="D72" s="256"/>
      <c r="E72" s="256"/>
      <c r="F72" s="202">
        <f>G72+H72+I72+J72</f>
        <v>0</v>
      </c>
      <c r="G72" s="202"/>
      <c r="H72" s="202"/>
      <c r="I72" s="202"/>
      <c r="J72" s="202"/>
      <c r="L72" s="292"/>
    </row>
    <row r="73" spans="1:12" s="255" customFormat="1" ht="52.5" hidden="1" customHeight="1" outlineLevel="1">
      <c r="A73" s="111"/>
      <c r="B73" s="249"/>
      <c r="C73" s="202"/>
      <c r="D73" s="256"/>
      <c r="E73" s="256"/>
      <c r="F73" s="202">
        <f>G73+H73+I73+J73</f>
        <v>0</v>
      </c>
      <c r="G73" s="202"/>
      <c r="H73" s="202"/>
      <c r="I73" s="202"/>
      <c r="J73" s="202"/>
      <c r="L73" s="292"/>
    </row>
    <row r="74" spans="1:12" s="255" customFormat="1" ht="52.5" hidden="1" customHeight="1" outlineLevel="1">
      <c r="A74" s="111"/>
      <c r="B74" s="249"/>
      <c r="C74" s="202"/>
      <c r="D74" s="256"/>
      <c r="E74" s="256"/>
      <c r="F74" s="202">
        <f>G74+H74+I74+J74</f>
        <v>0</v>
      </c>
      <c r="G74" s="202"/>
      <c r="H74" s="202"/>
      <c r="I74" s="202"/>
      <c r="J74" s="202"/>
      <c r="L74" s="292"/>
    </row>
    <row r="75" spans="1:12" s="255" customFormat="1" ht="52.5" hidden="1" customHeight="1" outlineLevel="1">
      <c r="A75" s="111"/>
      <c r="B75" s="249"/>
      <c r="C75" s="202"/>
      <c r="D75" s="256"/>
      <c r="E75" s="256"/>
      <c r="F75" s="256">
        <f t="shared" si="11"/>
        <v>0</v>
      </c>
      <c r="G75" s="202"/>
      <c r="H75" s="202"/>
      <c r="I75" s="202"/>
      <c r="J75" s="202"/>
      <c r="L75" s="292"/>
    </row>
    <row r="76" spans="1:12" s="5" customFormat="1" ht="31.35" customHeight="1" collapsed="1">
      <c r="A76" s="279" t="s">
        <v>258</v>
      </c>
      <c r="B76" s="209">
        <v>1060</v>
      </c>
      <c r="C76" s="210">
        <f>C33-C34</f>
        <v>555.88100000000122</v>
      </c>
      <c r="D76" s="210">
        <f t="shared" ref="D76:J76" si="12">D33-D34</f>
        <v>2775.4999999999927</v>
      </c>
      <c r="E76" s="210">
        <f t="shared" si="12"/>
        <v>2979.7999999999956</v>
      </c>
      <c r="F76" s="210">
        <f>F33-F34</f>
        <v>3961.2999999999884</v>
      </c>
      <c r="G76" s="210">
        <f t="shared" si="12"/>
        <v>1018.3999999999978</v>
      </c>
      <c r="H76" s="210">
        <f t="shared" si="12"/>
        <v>1071.4999999999964</v>
      </c>
      <c r="I76" s="210">
        <f t="shared" si="12"/>
        <v>987.49999999999636</v>
      </c>
      <c r="J76" s="210">
        <f t="shared" si="12"/>
        <v>883.90000000000146</v>
      </c>
      <c r="L76" s="287"/>
    </row>
    <row r="77" spans="1:12" ht="27.6" customHeight="1">
      <c r="A77" s="229" t="s">
        <v>177</v>
      </c>
      <c r="B77" s="207">
        <v>1070</v>
      </c>
      <c r="C77" s="237">
        <f>SUM(C78:C80)</f>
        <v>416.5</v>
      </c>
      <c r="D77" s="237">
        <f>SUM(D78:D80)</f>
        <v>16.2</v>
      </c>
      <c r="E77" s="237">
        <f>SUM(E78:E80)</f>
        <v>100.3</v>
      </c>
      <c r="F77" s="237">
        <f>G77+H77+I77+J77</f>
        <v>25.299999999999997</v>
      </c>
      <c r="G77" s="237">
        <f>SUM(G78:G80)</f>
        <v>6.3</v>
      </c>
      <c r="H77" s="237">
        <f>SUM(H78:H80)</f>
        <v>6.3</v>
      </c>
      <c r="I77" s="237">
        <f>SUM(I78:I80)</f>
        <v>6.3</v>
      </c>
      <c r="J77" s="237">
        <f>SUM(J78:J80)</f>
        <v>6.4</v>
      </c>
    </row>
    <row r="78" spans="1:12" s="247" customFormat="1" ht="27.6" customHeight="1">
      <c r="A78" s="248" t="s">
        <v>354</v>
      </c>
      <c r="B78" s="249">
        <v>1071</v>
      </c>
      <c r="C78" s="250"/>
      <c r="D78" s="250">
        <v>16.2</v>
      </c>
      <c r="E78" s="250">
        <v>25.3</v>
      </c>
      <c r="F78" s="219">
        <f>G78+H78+I78+J78</f>
        <v>25.299999999999997</v>
      </c>
      <c r="G78" s="250">
        <v>6.3</v>
      </c>
      <c r="H78" s="250">
        <v>6.3</v>
      </c>
      <c r="I78" s="250">
        <v>6.3</v>
      </c>
      <c r="J78" s="250">
        <v>6.4</v>
      </c>
      <c r="L78" s="293"/>
    </row>
    <row r="79" spans="1:12" s="247" customFormat="1" ht="45.2" customHeight="1">
      <c r="A79" s="248" t="s">
        <v>355</v>
      </c>
      <c r="B79" s="251">
        <v>1072</v>
      </c>
      <c r="C79" s="250">
        <v>63.5</v>
      </c>
      <c r="D79" s="250"/>
      <c r="E79" s="250">
        <v>75</v>
      </c>
      <c r="F79" s="219">
        <f>G79+H79+I79+J79</f>
        <v>0</v>
      </c>
      <c r="G79" s="250"/>
      <c r="H79" s="250"/>
      <c r="I79" s="250"/>
      <c r="J79" s="250"/>
      <c r="L79" s="293"/>
    </row>
    <row r="80" spans="1:12" s="247" customFormat="1" ht="41.45" customHeight="1">
      <c r="A80" s="248" t="s">
        <v>356</v>
      </c>
      <c r="B80" s="251">
        <v>1073</v>
      </c>
      <c r="C80" s="250">
        <f>60.3+0.2+292.5</f>
        <v>353</v>
      </c>
      <c r="D80" s="250"/>
      <c r="E80" s="250"/>
      <c r="F80" s="219">
        <f>G80+H80+I80+J80</f>
        <v>0</v>
      </c>
      <c r="G80" s="250"/>
      <c r="H80" s="250"/>
      <c r="I80" s="250"/>
      <c r="J80" s="250"/>
      <c r="L80" s="293"/>
    </row>
    <row r="81" spans="1:12" ht="26.25" customHeight="1">
      <c r="A81" s="203" t="s">
        <v>182</v>
      </c>
      <c r="B81" s="204">
        <v>1080</v>
      </c>
      <c r="C81" s="206">
        <f t="shared" ref="C81:J81" si="13">SUM(C82:C103)</f>
        <v>1180</v>
      </c>
      <c r="D81" s="206">
        <f t="shared" si="13"/>
        <v>1600</v>
      </c>
      <c r="E81" s="206">
        <f t="shared" si="13"/>
        <v>1556.1</v>
      </c>
      <c r="F81" s="206">
        <f t="shared" si="13"/>
        <v>1709.8000000000002</v>
      </c>
      <c r="G81" s="206">
        <f t="shared" si="13"/>
        <v>469.79999999999995</v>
      </c>
      <c r="H81" s="206">
        <f t="shared" si="13"/>
        <v>427.29999999999995</v>
      </c>
      <c r="I81" s="206">
        <f t="shared" si="13"/>
        <v>418.1</v>
      </c>
      <c r="J81" s="206">
        <f t="shared" si="13"/>
        <v>394.59999999999997</v>
      </c>
      <c r="K81" s="278"/>
    </row>
    <row r="82" spans="1:12" ht="47.65" customHeight="1">
      <c r="A82" s="8" t="s">
        <v>94</v>
      </c>
      <c r="B82" s="9">
        <v>1081</v>
      </c>
      <c r="C82" s="219"/>
      <c r="D82" s="219"/>
      <c r="E82" s="219"/>
      <c r="F82" s="212">
        <f t="shared" ref="F82:F102" si="14">G82+H82+I82+J82</f>
        <v>0</v>
      </c>
      <c r="G82" s="202"/>
      <c r="H82" s="202"/>
      <c r="I82" s="202"/>
      <c r="J82" s="202"/>
    </row>
    <row r="83" spans="1:12" ht="25.15" customHeight="1">
      <c r="A83" s="8" t="s">
        <v>173</v>
      </c>
      <c r="B83" s="9">
        <v>1082</v>
      </c>
      <c r="C83" s="219"/>
      <c r="D83" s="219"/>
      <c r="E83" s="219"/>
      <c r="F83" s="212">
        <f t="shared" si="14"/>
        <v>0</v>
      </c>
      <c r="G83" s="202"/>
      <c r="H83" s="202"/>
      <c r="I83" s="202"/>
      <c r="J83" s="202"/>
    </row>
    <row r="84" spans="1:12" ht="25.15" customHeight="1">
      <c r="A84" s="8" t="s">
        <v>50</v>
      </c>
      <c r="B84" s="9">
        <v>1083</v>
      </c>
      <c r="C84" s="219"/>
      <c r="D84" s="272">
        <v>19</v>
      </c>
      <c r="E84" s="272"/>
      <c r="F84" s="273">
        <f t="shared" si="14"/>
        <v>9</v>
      </c>
      <c r="G84" s="272"/>
      <c r="H84" s="272">
        <v>9</v>
      </c>
      <c r="I84" s="272"/>
      <c r="J84" s="272"/>
    </row>
    <row r="85" spans="1:12" ht="25.15" customHeight="1">
      <c r="A85" s="8" t="s">
        <v>10</v>
      </c>
      <c r="B85" s="9">
        <v>1084</v>
      </c>
      <c r="C85" s="219">
        <v>15.3</v>
      </c>
      <c r="D85" s="219">
        <v>17.5</v>
      </c>
      <c r="E85" s="219">
        <v>14</v>
      </c>
      <c r="F85" s="212">
        <f t="shared" si="14"/>
        <v>17.2</v>
      </c>
      <c r="G85" s="219"/>
      <c r="H85" s="219">
        <v>8.6</v>
      </c>
      <c r="I85" s="219">
        <v>8.6</v>
      </c>
      <c r="J85" s="219"/>
    </row>
    <row r="86" spans="1:12" ht="25.15" customHeight="1">
      <c r="A86" s="8" t="s">
        <v>11</v>
      </c>
      <c r="B86" s="9">
        <v>1085</v>
      </c>
      <c r="C86" s="219"/>
      <c r="D86" s="219"/>
      <c r="E86" s="219"/>
      <c r="F86" s="212">
        <f t="shared" si="14"/>
        <v>0</v>
      </c>
      <c r="G86" s="219"/>
      <c r="H86" s="202"/>
      <c r="I86" s="202"/>
      <c r="J86" s="202"/>
    </row>
    <row r="87" spans="1:12" s="2" customFormat="1" ht="25.15" customHeight="1">
      <c r="A87" s="8" t="s">
        <v>25</v>
      </c>
      <c r="B87" s="9">
        <v>1086</v>
      </c>
      <c r="C87" s="106">
        <v>15.8</v>
      </c>
      <c r="D87" s="272">
        <v>2.9</v>
      </c>
      <c r="E87" s="272">
        <v>47.7</v>
      </c>
      <c r="F87" s="273">
        <f t="shared" si="14"/>
        <v>23.5</v>
      </c>
      <c r="G87" s="272">
        <v>5.5</v>
      </c>
      <c r="H87" s="272">
        <v>7</v>
      </c>
      <c r="I87" s="272">
        <v>5.5</v>
      </c>
      <c r="J87" s="272">
        <v>5.5</v>
      </c>
      <c r="L87" s="289"/>
    </row>
    <row r="88" spans="1:12" s="2" customFormat="1" ht="25.15" customHeight="1">
      <c r="A88" s="8" t="s">
        <v>26</v>
      </c>
      <c r="B88" s="9">
        <v>1087</v>
      </c>
      <c r="C88" s="106">
        <v>16.100000000000001</v>
      </c>
      <c r="D88" s="219">
        <v>10.3</v>
      </c>
      <c r="E88" s="219">
        <v>12.1</v>
      </c>
      <c r="F88" s="212">
        <f t="shared" si="14"/>
        <v>13.6</v>
      </c>
      <c r="G88" s="219">
        <v>3.4</v>
      </c>
      <c r="H88" s="219">
        <v>3.4</v>
      </c>
      <c r="I88" s="219">
        <v>3.4</v>
      </c>
      <c r="J88" s="219">
        <v>3.4</v>
      </c>
      <c r="L88" s="289"/>
    </row>
    <row r="89" spans="1:12" s="2" customFormat="1" ht="25.15" customHeight="1">
      <c r="A89" s="8" t="s">
        <v>27</v>
      </c>
      <c r="B89" s="9">
        <v>1088</v>
      </c>
      <c r="C89" s="106">
        <v>675.8</v>
      </c>
      <c r="D89" s="219">
        <v>901</v>
      </c>
      <c r="E89" s="219">
        <v>945.7</v>
      </c>
      <c r="F89" s="212">
        <f t="shared" si="14"/>
        <v>1036.0999999999999</v>
      </c>
      <c r="G89" s="272">
        <v>259</v>
      </c>
      <c r="H89" s="272">
        <v>259</v>
      </c>
      <c r="I89" s="272">
        <v>259</v>
      </c>
      <c r="J89" s="272">
        <v>259.10000000000002</v>
      </c>
      <c r="K89" s="295"/>
      <c r="L89" s="289"/>
    </row>
    <row r="90" spans="1:12" s="2" customFormat="1" ht="25.15" customHeight="1">
      <c r="A90" s="8" t="s">
        <v>28</v>
      </c>
      <c r="B90" s="9">
        <v>1089</v>
      </c>
      <c r="C90" s="106">
        <v>212.8</v>
      </c>
      <c r="D90" s="272">
        <v>283.8</v>
      </c>
      <c r="E90" s="272">
        <v>205.2</v>
      </c>
      <c r="F90" s="273">
        <f t="shared" si="14"/>
        <v>227.9</v>
      </c>
      <c r="G90" s="272">
        <v>57</v>
      </c>
      <c r="H90" s="272">
        <v>57</v>
      </c>
      <c r="I90" s="272">
        <v>57</v>
      </c>
      <c r="J90" s="272">
        <v>56.9</v>
      </c>
      <c r="L90" s="289"/>
    </row>
    <row r="91" spans="1:12" s="122" customFormat="1" ht="42.6" customHeight="1">
      <c r="A91" s="121" t="s">
        <v>29</v>
      </c>
      <c r="B91" s="277">
        <v>1090</v>
      </c>
      <c r="C91" s="274"/>
      <c r="D91" s="272"/>
      <c r="E91" s="272"/>
      <c r="F91" s="273">
        <f t="shared" si="14"/>
        <v>0</v>
      </c>
      <c r="G91" s="271"/>
      <c r="H91" s="271"/>
      <c r="I91" s="271"/>
      <c r="J91" s="271"/>
      <c r="L91" s="290"/>
    </row>
    <row r="92" spans="1:12" s="2" customFormat="1" ht="42.6" customHeight="1">
      <c r="A92" s="8" t="s">
        <v>30</v>
      </c>
      <c r="B92" s="9">
        <v>1091</v>
      </c>
      <c r="C92" s="106"/>
      <c r="D92" s="318"/>
      <c r="E92" s="318"/>
      <c r="F92" s="212">
        <f t="shared" si="14"/>
        <v>0</v>
      </c>
      <c r="G92" s="220"/>
      <c r="H92" s="220"/>
      <c r="I92" s="106"/>
      <c r="J92" s="106"/>
      <c r="L92" s="289"/>
    </row>
    <row r="93" spans="1:12" s="2" customFormat="1" ht="42.6" customHeight="1">
      <c r="A93" s="8" t="s">
        <v>31</v>
      </c>
      <c r="B93" s="9">
        <v>1092</v>
      </c>
      <c r="C93" s="106"/>
      <c r="D93" s="219"/>
      <c r="E93" s="219"/>
      <c r="F93" s="212">
        <f t="shared" si="14"/>
        <v>0</v>
      </c>
      <c r="G93" s="220"/>
      <c r="H93" s="220"/>
      <c r="I93" s="106"/>
      <c r="J93" s="106"/>
      <c r="L93" s="289"/>
    </row>
    <row r="94" spans="1:12" s="2" customFormat="1" ht="42.6" customHeight="1">
      <c r="A94" s="8" t="s">
        <v>32</v>
      </c>
      <c r="B94" s="9">
        <v>1093</v>
      </c>
      <c r="C94" s="106"/>
      <c r="D94" s="219"/>
      <c r="E94" s="219"/>
      <c r="F94" s="212">
        <f t="shared" si="14"/>
        <v>0</v>
      </c>
      <c r="G94" s="220"/>
      <c r="H94" s="220"/>
      <c r="I94" s="106"/>
      <c r="J94" s="106"/>
      <c r="L94" s="289"/>
    </row>
    <row r="95" spans="1:12" s="2" customFormat="1" ht="25.15" customHeight="1">
      <c r="A95" s="8" t="s">
        <v>33</v>
      </c>
      <c r="B95" s="9">
        <v>1094</v>
      </c>
      <c r="C95" s="106"/>
      <c r="D95" s="219"/>
      <c r="E95" s="219"/>
      <c r="F95" s="212">
        <f t="shared" si="14"/>
        <v>0</v>
      </c>
      <c r="G95" s="220"/>
      <c r="H95" s="220"/>
      <c r="I95" s="106"/>
      <c r="J95" s="106"/>
      <c r="L95" s="289"/>
    </row>
    <row r="96" spans="1:12" s="2" customFormat="1" ht="25.15" customHeight="1">
      <c r="A96" s="8" t="s">
        <v>54</v>
      </c>
      <c r="B96" s="9">
        <v>1095</v>
      </c>
      <c r="C96" s="106"/>
      <c r="D96" s="272">
        <v>35.4</v>
      </c>
      <c r="E96" s="272">
        <v>27</v>
      </c>
      <c r="F96" s="273">
        <f t="shared" si="14"/>
        <v>16</v>
      </c>
      <c r="G96" s="272"/>
      <c r="H96" s="272">
        <v>16</v>
      </c>
      <c r="I96" s="272"/>
      <c r="J96" s="272"/>
      <c r="L96" s="289"/>
    </row>
    <row r="97" spans="1:14" s="2" customFormat="1" ht="25.15" customHeight="1">
      <c r="A97" s="8" t="s">
        <v>34</v>
      </c>
      <c r="B97" s="9">
        <v>1096</v>
      </c>
      <c r="C97" s="106"/>
      <c r="D97" s="272">
        <v>11</v>
      </c>
      <c r="E97" s="272"/>
      <c r="F97" s="273">
        <f t="shared" si="14"/>
        <v>0</v>
      </c>
      <c r="G97" s="272"/>
      <c r="H97" s="272"/>
      <c r="I97" s="272"/>
      <c r="J97" s="272"/>
      <c r="L97" s="289"/>
    </row>
    <row r="98" spans="1:14" s="2" customFormat="1" ht="25.15" customHeight="1">
      <c r="A98" s="8" t="s">
        <v>35</v>
      </c>
      <c r="B98" s="9">
        <v>1097</v>
      </c>
      <c r="C98" s="106"/>
      <c r="D98" s="219"/>
      <c r="E98" s="219"/>
      <c r="F98" s="212">
        <f t="shared" si="14"/>
        <v>0</v>
      </c>
      <c r="G98" s="219"/>
      <c r="H98" s="220"/>
      <c r="I98" s="106"/>
      <c r="J98" s="106"/>
      <c r="L98" s="289"/>
    </row>
    <row r="99" spans="1:14" s="2" customFormat="1" ht="39.4" customHeight="1">
      <c r="A99" s="8" t="s">
        <v>36</v>
      </c>
      <c r="B99" s="9">
        <v>1098</v>
      </c>
      <c r="C99" s="106">
        <v>3.5</v>
      </c>
      <c r="D99" s="272">
        <v>4</v>
      </c>
      <c r="E99" s="272"/>
      <c r="F99" s="273">
        <f t="shared" si="14"/>
        <v>8.5</v>
      </c>
      <c r="G99" s="272"/>
      <c r="H99" s="272">
        <v>4.7</v>
      </c>
      <c r="I99" s="272">
        <v>3.8</v>
      </c>
      <c r="J99" s="272"/>
      <c r="L99" s="289"/>
    </row>
    <row r="100" spans="1:14" s="2" customFormat="1" ht="40.15" customHeight="1">
      <c r="A100" s="8" t="s">
        <v>37</v>
      </c>
      <c r="B100" s="9">
        <v>1099</v>
      </c>
      <c r="C100" s="106">
        <v>1.4</v>
      </c>
      <c r="D100" s="219">
        <v>2</v>
      </c>
      <c r="E100" s="219">
        <v>11</v>
      </c>
      <c r="F100" s="212">
        <f t="shared" si="14"/>
        <v>4.9000000000000004</v>
      </c>
      <c r="G100" s="272"/>
      <c r="H100" s="272">
        <v>4.9000000000000004</v>
      </c>
      <c r="I100" s="272"/>
      <c r="J100" s="272"/>
      <c r="L100" s="289"/>
    </row>
    <row r="101" spans="1:14" s="2" customFormat="1" ht="60.75" customHeight="1">
      <c r="A101" s="8" t="s">
        <v>67</v>
      </c>
      <c r="B101" s="9">
        <v>1100</v>
      </c>
      <c r="C101" s="106"/>
      <c r="D101" s="219"/>
      <c r="E101" s="219"/>
      <c r="F101" s="212">
        <f t="shared" si="14"/>
        <v>0</v>
      </c>
      <c r="G101" s="219"/>
      <c r="H101" s="220"/>
      <c r="I101" s="106"/>
      <c r="J101" s="106"/>
      <c r="L101" s="289"/>
    </row>
    <row r="102" spans="1:14" s="2" customFormat="1" ht="26.25" customHeight="1">
      <c r="A102" s="8" t="s">
        <v>38</v>
      </c>
      <c r="B102" s="9">
        <v>1101</v>
      </c>
      <c r="C102" s="106">
        <v>30.8</v>
      </c>
      <c r="D102" s="219">
        <v>44.6</v>
      </c>
      <c r="E102" s="219">
        <v>33.299999999999997</v>
      </c>
      <c r="F102" s="212">
        <f t="shared" si="14"/>
        <v>0</v>
      </c>
      <c r="G102" s="219"/>
      <c r="H102" s="219"/>
      <c r="I102" s="219"/>
      <c r="J102" s="219"/>
      <c r="L102" s="289"/>
    </row>
    <row r="103" spans="1:14" s="2" customFormat="1" ht="27.6" customHeight="1">
      <c r="A103" s="238" t="s">
        <v>97</v>
      </c>
      <c r="B103" s="239">
        <v>1102</v>
      </c>
      <c r="C103" s="240">
        <f t="shared" ref="C103:J103" si="15">C104+SUM(C109:C111)</f>
        <v>208.5</v>
      </c>
      <c r="D103" s="241">
        <f t="shared" si="15"/>
        <v>268.5</v>
      </c>
      <c r="E103" s="241">
        <f t="shared" si="15"/>
        <v>260.10000000000002</v>
      </c>
      <c r="F103" s="208">
        <f t="shared" si="15"/>
        <v>353.1</v>
      </c>
      <c r="G103" s="240">
        <f t="shared" si="15"/>
        <v>144.9</v>
      </c>
      <c r="H103" s="240">
        <f t="shared" si="15"/>
        <v>57.7</v>
      </c>
      <c r="I103" s="240">
        <f t="shared" si="15"/>
        <v>80.8</v>
      </c>
      <c r="J103" s="240">
        <f t="shared" si="15"/>
        <v>69.7</v>
      </c>
      <c r="K103" s="3"/>
      <c r="L103" s="286"/>
      <c r="M103" s="3"/>
      <c r="N103" s="3"/>
    </row>
    <row r="104" spans="1:14" s="255" customFormat="1" ht="30.75" customHeight="1">
      <c r="A104" s="243" t="s">
        <v>372</v>
      </c>
      <c r="B104" s="252" t="s">
        <v>330</v>
      </c>
      <c r="C104" s="253">
        <f t="shared" ref="C104:J104" si="16">C106+C107+C108</f>
        <v>178.29999999999998</v>
      </c>
      <c r="D104" s="254">
        <f t="shared" si="16"/>
        <v>237.7</v>
      </c>
      <c r="E104" s="254">
        <f t="shared" si="16"/>
        <v>203</v>
      </c>
      <c r="F104" s="253">
        <f t="shared" si="16"/>
        <v>260.5</v>
      </c>
      <c r="G104" s="253">
        <f t="shared" si="16"/>
        <v>125.8</v>
      </c>
      <c r="H104" s="253">
        <f t="shared" si="16"/>
        <v>28.1</v>
      </c>
      <c r="I104" s="253">
        <f t="shared" si="16"/>
        <v>47.9</v>
      </c>
      <c r="J104" s="253">
        <f t="shared" si="16"/>
        <v>58.7</v>
      </c>
      <c r="K104" s="247"/>
      <c r="L104" s="293"/>
      <c r="M104" s="247"/>
      <c r="N104" s="247"/>
    </row>
    <row r="105" spans="1:14" s="2" customFormat="1" ht="25.15" customHeight="1">
      <c r="A105" s="111" t="s">
        <v>299</v>
      </c>
      <c r="B105" s="221"/>
      <c r="C105" s="106"/>
      <c r="D105" s="219"/>
      <c r="E105" s="219"/>
      <c r="F105" s="212"/>
      <c r="G105" s="220"/>
      <c r="H105" s="220"/>
      <c r="I105" s="220"/>
      <c r="J105" s="220"/>
      <c r="K105" s="3"/>
      <c r="L105" s="286"/>
      <c r="M105" s="3"/>
      <c r="N105" s="3"/>
    </row>
    <row r="106" spans="1:14" s="255" customFormat="1" ht="25.15" customHeight="1">
      <c r="A106" s="111" t="s">
        <v>300</v>
      </c>
      <c r="B106" s="251" t="s">
        <v>331</v>
      </c>
      <c r="C106" s="202">
        <v>80.3</v>
      </c>
      <c r="D106" s="276">
        <v>107</v>
      </c>
      <c r="E106" s="276">
        <v>126.6</v>
      </c>
      <c r="F106" s="275">
        <f t="shared" ref="F106:F111" si="17">G106+H106+I106+J106</f>
        <v>147.9</v>
      </c>
      <c r="G106" s="276">
        <v>94.2</v>
      </c>
      <c r="H106" s="270"/>
      <c r="I106" s="270">
        <v>23.6</v>
      </c>
      <c r="J106" s="270">
        <v>30.1</v>
      </c>
      <c r="K106" s="247"/>
      <c r="L106" s="293"/>
      <c r="M106" s="247"/>
      <c r="N106" s="247"/>
    </row>
    <row r="107" spans="1:14" s="255" customFormat="1" ht="25.15" customHeight="1">
      <c r="A107" s="111" t="s">
        <v>306</v>
      </c>
      <c r="B107" s="251" t="s">
        <v>332</v>
      </c>
      <c r="C107" s="202">
        <v>53.4</v>
      </c>
      <c r="D107" s="276">
        <v>71.2</v>
      </c>
      <c r="E107" s="276">
        <v>46.7</v>
      </c>
      <c r="F107" s="275">
        <f t="shared" si="17"/>
        <v>71.2</v>
      </c>
      <c r="G107" s="270">
        <v>21</v>
      </c>
      <c r="H107" s="270">
        <v>18</v>
      </c>
      <c r="I107" s="270">
        <v>14.2</v>
      </c>
      <c r="J107" s="270">
        <v>18</v>
      </c>
      <c r="K107" s="247"/>
      <c r="L107" s="293"/>
      <c r="M107" s="247"/>
      <c r="N107" s="247"/>
    </row>
    <row r="108" spans="1:14" s="255" customFormat="1" ht="25.15" customHeight="1">
      <c r="A108" s="111" t="s">
        <v>301</v>
      </c>
      <c r="B108" s="251" t="s">
        <v>333</v>
      </c>
      <c r="C108" s="202">
        <v>44.6</v>
      </c>
      <c r="D108" s="276">
        <v>59.5</v>
      </c>
      <c r="E108" s="276">
        <v>29.7</v>
      </c>
      <c r="F108" s="275">
        <f t="shared" si="17"/>
        <v>41.4</v>
      </c>
      <c r="G108" s="276">
        <v>10.6</v>
      </c>
      <c r="H108" s="276">
        <v>10.1</v>
      </c>
      <c r="I108" s="276">
        <v>10.1</v>
      </c>
      <c r="J108" s="276">
        <v>10.6</v>
      </c>
      <c r="K108" s="247"/>
      <c r="L108" s="293"/>
      <c r="M108" s="247"/>
      <c r="N108" s="247"/>
    </row>
    <row r="109" spans="1:14" s="255" customFormat="1" ht="52.5" customHeight="1">
      <c r="A109" s="243" t="s">
        <v>400</v>
      </c>
      <c r="B109" s="252" t="s">
        <v>397</v>
      </c>
      <c r="C109" s="253"/>
      <c r="D109" s="254"/>
      <c r="E109" s="254"/>
      <c r="F109" s="253">
        <f t="shared" si="17"/>
        <v>0</v>
      </c>
      <c r="G109" s="254"/>
      <c r="H109" s="253"/>
      <c r="I109" s="253"/>
      <c r="J109" s="253"/>
      <c r="K109" s="247"/>
      <c r="L109" s="293"/>
      <c r="M109" s="247"/>
      <c r="N109" s="247"/>
    </row>
    <row r="110" spans="1:14" s="255" customFormat="1" ht="25.15" customHeight="1">
      <c r="A110" s="243" t="s">
        <v>410</v>
      </c>
      <c r="B110" s="252" t="s">
        <v>398</v>
      </c>
      <c r="C110" s="253">
        <v>12.4</v>
      </c>
      <c r="D110" s="254">
        <v>10.8</v>
      </c>
      <c r="E110" s="254">
        <v>34.1</v>
      </c>
      <c r="F110" s="253">
        <f t="shared" si="17"/>
        <v>52</v>
      </c>
      <c r="G110" s="254">
        <v>11</v>
      </c>
      <c r="H110" s="254">
        <v>15.3</v>
      </c>
      <c r="I110" s="254">
        <v>14.7</v>
      </c>
      <c r="J110" s="254">
        <v>11</v>
      </c>
      <c r="K110" s="247"/>
      <c r="L110" s="293"/>
      <c r="M110" s="247"/>
      <c r="N110" s="247"/>
    </row>
    <row r="111" spans="1:14" s="255" customFormat="1" ht="25.15" customHeight="1">
      <c r="A111" s="243" t="s">
        <v>411</v>
      </c>
      <c r="B111" s="252" t="s">
        <v>399</v>
      </c>
      <c r="C111" s="253">
        <v>17.8</v>
      </c>
      <c r="D111" s="254">
        <v>20</v>
      </c>
      <c r="E111" s="254">
        <v>23</v>
      </c>
      <c r="F111" s="253">
        <f t="shared" si="17"/>
        <v>40.599999999999994</v>
      </c>
      <c r="G111" s="254">
        <v>8.1</v>
      </c>
      <c r="H111" s="253">
        <v>14.3</v>
      </c>
      <c r="I111" s="253">
        <v>18.2</v>
      </c>
      <c r="J111" s="253"/>
      <c r="K111" s="247"/>
      <c r="L111" s="293"/>
      <c r="M111" s="247"/>
      <c r="N111" s="247"/>
    </row>
    <row r="112" spans="1:14" ht="36.950000000000003" customHeight="1">
      <c r="A112" s="203" t="s">
        <v>183</v>
      </c>
      <c r="B112" s="204">
        <v>1110</v>
      </c>
      <c r="C112" s="206">
        <f t="shared" ref="C112:J112" si="18">SUM(C113:C118)</f>
        <v>0</v>
      </c>
      <c r="D112" s="205">
        <f t="shared" si="18"/>
        <v>0</v>
      </c>
      <c r="E112" s="205">
        <f t="shared" si="18"/>
        <v>1517.1</v>
      </c>
      <c r="F112" s="206">
        <f t="shared" si="18"/>
        <v>2254</v>
      </c>
      <c r="G112" s="206">
        <f t="shared" si="18"/>
        <v>549.20000000000005</v>
      </c>
      <c r="H112" s="206">
        <f t="shared" si="18"/>
        <v>644.79999999999995</v>
      </c>
      <c r="I112" s="206">
        <f t="shared" si="18"/>
        <v>570</v>
      </c>
      <c r="J112" s="206">
        <f t="shared" si="18"/>
        <v>490</v>
      </c>
    </row>
    <row r="113" spans="1:14" s="2" customFormat="1" ht="25.15" customHeight="1">
      <c r="A113" s="8" t="s">
        <v>154</v>
      </c>
      <c r="B113" s="9">
        <v>1111</v>
      </c>
      <c r="C113" s="106"/>
      <c r="D113" s="219"/>
      <c r="E113" s="219"/>
      <c r="F113" s="212">
        <f t="shared" ref="F113:F118" si="19">G113+H113+I113+J113</f>
        <v>0</v>
      </c>
      <c r="G113" s="220"/>
      <c r="H113" s="220"/>
      <c r="I113" s="220"/>
      <c r="J113" s="220"/>
      <c r="K113" s="3"/>
      <c r="L113" s="286"/>
      <c r="M113" s="3"/>
      <c r="N113" s="3"/>
    </row>
    <row r="114" spans="1:14" s="2" customFormat="1" ht="25.15" customHeight="1">
      <c r="A114" s="8" t="s">
        <v>155</v>
      </c>
      <c r="B114" s="9">
        <v>1112</v>
      </c>
      <c r="C114" s="106"/>
      <c r="D114" s="219"/>
      <c r="E114" s="219"/>
      <c r="F114" s="212">
        <f t="shared" si="19"/>
        <v>0</v>
      </c>
      <c r="G114" s="220"/>
      <c r="H114" s="220"/>
      <c r="I114" s="220"/>
      <c r="J114" s="220"/>
      <c r="K114" s="3"/>
      <c r="L114" s="286"/>
      <c r="M114" s="3"/>
      <c r="N114" s="3"/>
    </row>
    <row r="115" spans="1:14" s="2" customFormat="1" ht="25.15" customHeight="1">
      <c r="A115" s="8" t="s">
        <v>27</v>
      </c>
      <c r="B115" s="9">
        <v>1113</v>
      </c>
      <c r="C115" s="106"/>
      <c r="D115" s="219"/>
      <c r="E115" s="219">
        <v>1217.2</v>
      </c>
      <c r="F115" s="212">
        <f t="shared" si="19"/>
        <v>1939.2</v>
      </c>
      <c r="G115" s="220">
        <v>469.2</v>
      </c>
      <c r="H115" s="220">
        <v>490</v>
      </c>
      <c r="I115" s="220">
        <v>490</v>
      </c>
      <c r="J115" s="220">
        <v>490</v>
      </c>
      <c r="K115" s="3"/>
      <c r="L115" s="286"/>
      <c r="M115" s="3"/>
      <c r="N115" s="3"/>
    </row>
    <row r="116" spans="1:14" s="2" customFormat="1" ht="25.15" customHeight="1">
      <c r="A116" s="8" t="s">
        <v>51</v>
      </c>
      <c r="B116" s="9">
        <v>1114</v>
      </c>
      <c r="C116" s="106"/>
      <c r="D116" s="219"/>
      <c r="E116" s="219"/>
      <c r="F116" s="212">
        <f t="shared" si="19"/>
        <v>0</v>
      </c>
      <c r="G116" s="220"/>
      <c r="H116" s="220"/>
      <c r="I116" s="220"/>
      <c r="J116" s="220"/>
      <c r="K116" s="3"/>
      <c r="L116" s="286"/>
      <c r="M116" s="3"/>
      <c r="N116" s="3"/>
    </row>
    <row r="117" spans="1:14" s="2" customFormat="1" ht="25.15" customHeight="1">
      <c r="A117" s="8" t="s">
        <v>70</v>
      </c>
      <c r="B117" s="9">
        <v>1115</v>
      </c>
      <c r="C117" s="106"/>
      <c r="D117" s="219"/>
      <c r="E117" s="219"/>
      <c r="F117" s="212">
        <f t="shared" si="19"/>
        <v>0</v>
      </c>
      <c r="G117" s="220"/>
      <c r="H117" s="220"/>
      <c r="I117" s="220"/>
      <c r="J117" s="220"/>
      <c r="K117" s="3"/>
      <c r="L117" s="286"/>
      <c r="M117" s="3"/>
      <c r="N117" s="3"/>
    </row>
    <row r="118" spans="1:14" s="2" customFormat="1" ht="25.15" customHeight="1">
      <c r="A118" s="8" t="s">
        <v>110</v>
      </c>
      <c r="B118" s="9">
        <v>1116</v>
      </c>
      <c r="C118" s="106"/>
      <c r="D118" s="219"/>
      <c r="E118" s="219">
        <f>E119+E120</f>
        <v>299.89999999999998</v>
      </c>
      <c r="F118" s="212">
        <f t="shared" si="19"/>
        <v>314.8</v>
      </c>
      <c r="G118" s="220">
        <f>G119+G120</f>
        <v>80</v>
      </c>
      <c r="H118" s="220">
        <f t="shared" ref="H118:J118" si="20">H119+H120</f>
        <v>154.80000000000001</v>
      </c>
      <c r="I118" s="220">
        <f t="shared" si="20"/>
        <v>80</v>
      </c>
      <c r="J118" s="220">
        <f t="shared" si="20"/>
        <v>0</v>
      </c>
      <c r="K118" s="3"/>
      <c r="L118" s="286"/>
      <c r="M118" s="3"/>
      <c r="N118" s="3"/>
    </row>
    <row r="119" spans="1:14" s="2" customFormat="1" ht="25.15" customHeight="1">
      <c r="A119" s="8" t="s">
        <v>402</v>
      </c>
      <c r="B119" s="9"/>
      <c r="C119" s="106"/>
      <c r="D119" s="219"/>
      <c r="E119" s="219">
        <v>123.6</v>
      </c>
      <c r="F119" s="212"/>
      <c r="G119" s="220">
        <v>20</v>
      </c>
      <c r="H119" s="220">
        <v>34.799999999999997</v>
      </c>
      <c r="I119" s="220">
        <v>35</v>
      </c>
      <c r="J119" s="220"/>
      <c r="K119" s="298"/>
      <c r="L119" s="286"/>
      <c r="M119" s="298"/>
      <c r="N119" s="298"/>
    </row>
    <row r="120" spans="1:14" s="2" customFormat="1" ht="25.15" customHeight="1">
      <c r="A120" s="8" t="s">
        <v>371</v>
      </c>
      <c r="B120" s="9"/>
      <c r="C120" s="106"/>
      <c r="D120" s="219"/>
      <c r="E120" s="219">
        <v>176.3</v>
      </c>
      <c r="F120" s="212"/>
      <c r="G120" s="220">
        <v>60</v>
      </c>
      <c r="H120" s="220">
        <v>120</v>
      </c>
      <c r="I120" s="220">
        <v>45</v>
      </c>
      <c r="J120" s="220"/>
      <c r="K120" s="298"/>
      <c r="L120" s="286"/>
      <c r="M120" s="298"/>
      <c r="N120" s="298"/>
    </row>
    <row r="121" spans="1:14" s="2" customFormat="1" ht="26.25" customHeight="1">
      <c r="A121" s="213" t="s">
        <v>71</v>
      </c>
      <c r="B121" s="204">
        <v>1120</v>
      </c>
      <c r="C121" s="206">
        <f t="shared" ref="C121:J121" si="21">SUM(C122:C126)</f>
        <v>0</v>
      </c>
      <c r="D121" s="206">
        <f t="shared" si="21"/>
        <v>6.9</v>
      </c>
      <c r="E121" s="206">
        <f t="shared" si="21"/>
        <v>6.9</v>
      </c>
      <c r="F121" s="206">
        <f t="shared" si="21"/>
        <v>22.8</v>
      </c>
      <c r="G121" s="206">
        <f t="shared" si="21"/>
        <v>5.7</v>
      </c>
      <c r="H121" s="206">
        <f t="shared" si="21"/>
        <v>5.7</v>
      </c>
      <c r="I121" s="206">
        <f t="shared" si="21"/>
        <v>5.7</v>
      </c>
      <c r="J121" s="206">
        <f t="shared" si="21"/>
        <v>5.7</v>
      </c>
      <c r="K121" s="3"/>
      <c r="L121" s="286"/>
      <c r="M121" s="3"/>
      <c r="N121" s="3"/>
    </row>
    <row r="122" spans="1:14" s="2" customFormat="1" ht="25.15" customHeight="1">
      <c r="A122" s="8" t="s">
        <v>59</v>
      </c>
      <c r="B122" s="9">
        <v>1121</v>
      </c>
      <c r="C122" s="106"/>
      <c r="D122" s="219"/>
      <c r="E122" s="219"/>
      <c r="F122" s="212">
        <f>G122+H122+I122+J122</f>
        <v>0</v>
      </c>
      <c r="G122" s="220"/>
      <c r="H122" s="220"/>
      <c r="I122" s="220"/>
      <c r="J122" s="220"/>
      <c r="K122" s="3"/>
      <c r="L122" s="286"/>
      <c r="M122" s="3"/>
      <c r="N122" s="3"/>
    </row>
    <row r="123" spans="1:14" s="2" customFormat="1" ht="25.15" customHeight="1">
      <c r="A123" s="8" t="s">
        <v>39</v>
      </c>
      <c r="B123" s="9">
        <v>1122</v>
      </c>
      <c r="C123" s="106"/>
      <c r="D123" s="219"/>
      <c r="E123" s="219"/>
      <c r="F123" s="212">
        <f>G123+H123+I123+J123</f>
        <v>0</v>
      </c>
      <c r="G123" s="220"/>
      <c r="H123" s="220"/>
      <c r="I123" s="220"/>
      <c r="J123" s="220"/>
      <c r="K123" s="3"/>
      <c r="L123" s="286"/>
      <c r="M123" s="3"/>
      <c r="N123" s="3"/>
    </row>
    <row r="124" spans="1:14" s="2" customFormat="1" ht="25.15" customHeight="1">
      <c r="A124" s="8" t="s">
        <v>49</v>
      </c>
      <c r="B124" s="9">
        <v>1123</v>
      </c>
      <c r="C124" s="106"/>
      <c r="D124" s="219"/>
      <c r="E124" s="219"/>
      <c r="F124" s="212">
        <f>G124+H124+I124+J124</f>
        <v>0</v>
      </c>
      <c r="G124" s="220"/>
      <c r="H124" s="220"/>
      <c r="I124" s="220"/>
      <c r="J124" s="220"/>
      <c r="K124" s="3"/>
      <c r="L124" s="286"/>
      <c r="M124" s="3"/>
      <c r="N124" s="3"/>
    </row>
    <row r="125" spans="1:14" s="2" customFormat="1" ht="25.15" customHeight="1">
      <c r="A125" s="8" t="s">
        <v>178</v>
      </c>
      <c r="B125" s="9">
        <v>1124</v>
      </c>
      <c r="C125" s="106"/>
      <c r="D125" s="219"/>
      <c r="E125" s="219"/>
      <c r="F125" s="212">
        <f>G125+H125+I125+J125</f>
        <v>0</v>
      </c>
      <c r="G125" s="220"/>
      <c r="H125" s="220"/>
      <c r="I125" s="220"/>
      <c r="J125" s="220"/>
      <c r="K125" s="3"/>
      <c r="L125" s="286"/>
      <c r="M125" s="3"/>
      <c r="N125" s="3"/>
    </row>
    <row r="126" spans="1:14" s="2" customFormat="1" ht="25.15" customHeight="1">
      <c r="A126" s="238" t="s">
        <v>193</v>
      </c>
      <c r="B126" s="239">
        <v>1125</v>
      </c>
      <c r="C126" s="240">
        <f t="shared" ref="C126:J126" si="22">C127+SUM(C132:C137)</f>
        <v>0</v>
      </c>
      <c r="D126" s="241">
        <f t="shared" si="22"/>
        <v>6.9</v>
      </c>
      <c r="E126" s="241">
        <f t="shared" si="22"/>
        <v>6.9</v>
      </c>
      <c r="F126" s="208">
        <f t="shared" si="22"/>
        <v>22.8</v>
      </c>
      <c r="G126" s="242">
        <f t="shared" si="22"/>
        <v>5.7</v>
      </c>
      <c r="H126" s="242">
        <f t="shared" si="22"/>
        <v>5.7</v>
      </c>
      <c r="I126" s="242">
        <f t="shared" si="22"/>
        <v>5.7</v>
      </c>
      <c r="J126" s="242">
        <f t="shared" si="22"/>
        <v>5.7</v>
      </c>
      <c r="K126" s="3"/>
      <c r="L126" s="286"/>
      <c r="M126" s="3"/>
      <c r="N126" s="3"/>
    </row>
    <row r="127" spans="1:14" s="2" customFormat="1" ht="25.15" customHeight="1">
      <c r="A127" s="243" t="s">
        <v>373</v>
      </c>
      <c r="B127" s="244" t="s">
        <v>334</v>
      </c>
      <c r="C127" s="234">
        <f t="shared" ref="C127:H127" si="23">SUM(C129:C131)</f>
        <v>0</v>
      </c>
      <c r="D127" s="235">
        <f t="shared" si="23"/>
        <v>5.7</v>
      </c>
      <c r="E127" s="235">
        <f t="shared" si="23"/>
        <v>5.7</v>
      </c>
      <c r="F127" s="231">
        <f t="shared" si="23"/>
        <v>20.8</v>
      </c>
      <c r="G127" s="236">
        <f t="shared" si="23"/>
        <v>5.2</v>
      </c>
      <c r="H127" s="236">
        <f t="shared" si="23"/>
        <v>5.2</v>
      </c>
      <c r="I127" s="236">
        <f>SUM(I129:I131)</f>
        <v>5.2</v>
      </c>
      <c r="J127" s="236">
        <f>SUM(J129:J131)</f>
        <v>5.2</v>
      </c>
      <c r="K127" s="3"/>
      <c r="L127" s="286"/>
      <c r="M127" s="3"/>
      <c r="N127" s="3"/>
    </row>
    <row r="128" spans="1:14" s="2" customFormat="1" ht="25.15" customHeight="1">
      <c r="A128" s="111" t="s">
        <v>299</v>
      </c>
      <c r="B128" s="221"/>
      <c r="C128" s="106"/>
      <c r="D128" s="219"/>
      <c r="E128" s="219"/>
      <c r="F128" s="212"/>
      <c r="G128" s="220"/>
      <c r="H128" s="220"/>
      <c r="I128" s="220"/>
      <c r="J128" s="220"/>
      <c r="K128" s="3"/>
      <c r="L128" s="286"/>
      <c r="M128" s="3"/>
      <c r="N128" s="3"/>
    </row>
    <row r="129" spans="1:14" s="255" customFormat="1" ht="25.15" customHeight="1">
      <c r="A129" s="111" t="s">
        <v>300</v>
      </c>
      <c r="B129" s="260" t="s">
        <v>335</v>
      </c>
      <c r="C129" s="202"/>
      <c r="D129" s="250">
        <v>3.4</v>
      </c>
      <c r="E129" s="250">
        <v>3.4</v>
      </c>
      <c r="F129" s="202">
        <f>G129+H129+I129+J129</f>
        <v>10.8</v>
      </c>
      <c r="G129" s="270">
        <v>2.7</v>
      </c>
      <c r="H129" s="270">
        <v>2.7</v>
      </c>
      <c r="I129" s="270">
        <v>2.7</v>
      </c>
      <c r="J129" s="270">
        <v>2.7</v>
      </c>
      <c r="K129" s="247"/>
      <c r="L129" s="293"/>
      <c r="M129" s="247"/>
      <c r="N129" s="247"/>
    </row>
    <row r="130" spans="1:14" s="255" customFormat="1" ht="25.15" customHeight="1">
      <c r="A130" s="111" t="s">
        <v>306</v>
      </c>
      <c r="B130" s="260" t="s">
        <v>336</v>
      </c>
      <c r="C130" s="202"/>
      <c r="D130" s="250">
        <v>1.3</v>
      </c>
      <c r="E130" s="250">
        <v>1.3</v>
      </c>
      <c r="F130" s="202">
        <f t="shared" ref="F130:F137" si="24">G130+H130+I130+J130</f>
        <v>8</v>
      </c>
      <c r="G130" s="270">
        <v>2</v>
      </c>
      <c r="H130" s="270">
        <v>2</v>
      </c>
      <c r="I130" s="270">
        <v>2</v>
      </c>
      <c r="J130" s="270">
        <v>2</v>
      </c>
      <c r="K130" s="247"/>
      <c r="L130" s="293"/>
      <c r="M130" s="247"/>
      <c r="N130" s="247"/>
    </row>
    <row r="131" spans="1:14" s="255" customFormat="1" ht="25.15" customHeight="1">
      <c r="A131" s="111" t="s">
        <v>301</v>
      </c>
      <c r="B131" s="260" t="s">
        <v>337</v>
      </c>
      <c r="C131" s="202"/>
      <c r="D131" s="250">
        <v>1</v>
      </c>
      <c r="E131" s="250">
        <v>1</v>
      </c>
      <c r="F131" s="202">
        <f t="shared" si="24"/>
        <v>2</v>
      </c>
      <c r="G131" s="270">
        <v>0.5</v>
      </c>
      <c r="H131" s="270">
        <v>0.5</v>
      </c>
      <c r="I131" s="270">
        <v>0.5</v>
      </c>
      <c r="J131" s="270">
        <v>0.5</v>
      </c>
      <c r="K131" s="247"/>
      <c r="L131" s="293"/>
      <c r="M131" s="247"/>
      <c r="N131" s="247"/>
    </row>
    <row r="132" spans="1:14" s="2" customFormat="1" ht="25.15" customHeight="1">
      <c r="A132" s="111" t="s">
        <v>401</v>
      </c>
      <c r="B132" s="221" t="s">
        <v>338</v>
      </c>
      <c r="C132" s="106"/>
      <c r="D132" s="219">
        <v>1.2</v>
      </c>
      <c r="E132" s="219">
        <v>1.2</v>
      </c>
      <c r="F132" s="202">
        <f t="shared" si="24"/>
        <v>2</v>
      </c>
      <c r="G132" s="271">
        <v>0.5</v>
      </c>
      <c r="H132" s="271">
        <v>0.5</v>
      </c>
      <c r="I132" s="271">
        <v>0.5</v>
      </c>
      <c r="J132" s="271">
        <v>0.5</v>
      </c>
      <c r="K132" s="3"/>
      <c r="L132" s="286"/>
      <c r="M132" s="3"/>
      <c r="N132" s="3"/>
    </row>
    <row r="133" spans="1:14" s="2" customFormat="1" ht="25.15" customHeight="1">
      <c r="A133" s="111" t="s">
        <v>402</v>
      </c>
      <c r="B133" s="221" t="s">
        <v>339</v>
      </c>
      <c r="C133" s="106"/>
      <c r="D133" s="219"/>
      <c r="E133" s="219"/>
      <c r="F133" s="202">
        <f t="shared" si="24"/>
        <v>0</v>
      </c>
      <c r="G133" s="220"/>
      <c r="H133" s="220"/>
      <c r="I133" s="220"/>
      <c r="J133" s="220"/>
      <c r="K133" s="3"/>
      <c r="L133" s="286"/>
      <c r="M133" s="3"/>
      <c r="N133" s="3"/>
    </row>
    <row r="134" spans="1:14" s="2" customFormat="1" ht="25.15" customHeight="1">
      <c r="A134" s="111" t="s">
        <v>406</v>
      </c>
      <c r="B134" s="221" t="s">
        <v>340</v>
      </c>
      <c r="C134" s="106"/>
      <c r="D134" s="219"/>
      <c r="E134" s="219"/>
      <c r="F134" s="202">
        <f t="shared" si="24"/>
        <v>0</v>
      </c>
      <c r="G134" s="220"/>
      <c r="H134" s="220"/>
      <c r="I134" s="220"/>
      <c r="J134" s="220"/>
      <c r="K134" s="3"/>
      <c r="L134" s="286"/>
      <c r="M134" s="3"/>
      <c r="N134" s="3"/>
    </row>
    <row r="135" spans="1:14" s="2" customFormat="1" ht="46.35" customHeight="1">
      <c r="A135" s="111" t="s">
        <v>403</v>
      </c>
      <c r="B135" s="221" t="s">
        <v>341</v>
      </c>
      <c r="C135" s="106"/>
      <c r="D135" s="219"/>
      <c r="E135" s="219"/>
      <c r="F135" s="106">
        <f>G135+H135+I135+J135</f>
        <v>0</v>
      </c>
      <c r="G135" s="220"/>
      <c r="H135" s="220"/>
      <c r="I135" s="220"/>
      <c r="J135" s="220"/>
      <c r="K135" s="3"/>
      <c r="L135" s="286"/>
      <c r="M135" s="3"/>
      <c r="N135" s="3"/>
    </row>
    <row r="136" spans="1:14" s="2" customFormat="1" ht="52.5" hidden="1" customHeight="1">
      <c r="A136" s="111"/>
      <c r="B136" s="221" t="s">
        <v>404</v>
      </c>
      <c r="C136" s="106"/>
      <c r="D136" s="219"/>
      <c r="E136" s="219"/>
      <c r="F136" s="106">
        <f>G136+H136+I136+J136</f>
        <v>0</v>
      </c>
      <c r="G136" s="220"/>
      <c r="H136" s="220"/>
      <c r="I136" s="220"/>
      <c r="J136" s="220"/>
      <c r="K136" s="3"/>
      <c r="L136" s="286"/>
      <c r="M136" s="3"/>
      <c r="N136" s="3"/>
    </row>
    <row r="137" spans="1:14" s="2" customFormat="1" ht="52.5" hidden="1" customHeight="1">
      <c r="A137" s="111"/>
      <c r="B137" s="221" t="s">
        <v>405</v>
      </c>
      <c r="C137" s="106"/>
      <c r="D137" s="219"/>
      <c r="E137" s="219"/>
      <c r="F137" s="106">
        <f t="shared" si="24"/>
        <v>0</v>
      </c>
      <c r="G137" s="220"/>
      <c r="H137" s="220"/>
      <c r="I137" s="220"/>
      <c r="J137" s="220"/>
      <c r="K137" s="3"/>
      <c r="L137" s="286"/>
      <c r="M137" s="3"/>
      <c r="N137" s="3"/>
    </row>
    <row r="138" spans="1:14" s="5" customFormat="1" ht="42" customHeight="1">
      <c r="A138" s="279" t="s">
        <v>259</v>
      </c>
      <c r="B138" s="214">
        <v>1130</v>
      </c>
      <c r="C138" s="210">
        <f>C76+C77-C81-C112-C121</f>
        <v>-207.61899999999878</v>
      </c>
      <c r="D138" s="210">
        <f t="shared" ref="D138:J138" si="25">D76+D77-D81-D112-D121</f>
        <v>1184.7999999999925</v>
      </c>
      <c r="E138" s="210">
        <f t="shared" si="25"/>
        <v>-4.0021319591687643E-12</v>
      </c>
      <c r="F138" s="210">
        <f t="shared" si="25"/>
        <v>-1.1642242725429242E-11</v>
      </c>
      <c r="G138" s="210">
        <f t="shared" si="25"/>
        <v>-2.2284396550276142E-12</v>
      </c>
      <c r="H138" s="210">
        <f t="shared" si="25"/>
        <v>-3.5926817076870066E-12</v>
      </c>
      <c r="I138" s="210">
        <f t="shared" si="25"/>
        <v>-3.7063685454086226E-12</v>
      </c>
      <c r="J138" s="210">
        <f t="shared" si="25"/>
        <v>1.4663825709249068E-12</v>
      </c>
      <c r="L138" s="287"/>
    </row>
    <row r="139" spans="1:14" ht="25.15" customHeight="1">
      <c r="A139" s="10" t="s">
        <v>96</v>
      </c>
      <c r="B139" s="211">
        <v>1140</v>
      </c>
      <c r="C139" s="222"/>
      <c r="D139" s="223"/>
      <c r="E139" s="223"/>
      <c r="F139" s="90">
        <f>G139+H139+I139+J139</f>
        <v>0</v>
      </c>
      <c r="G139" s="90"/>
      <c r="H139" s="90"/>
      <c r="I139" s="90"/>
      <c r="J139" s="90"/>
    </row>
    <row r="140" spans="1:14" ht="25.15" customHeight="1">
      <c r="A140" s="10" t="s">
        <v>98</v>
      </c>
      <c r="B140" s="211">
        <v>1150</v>
      </c>
      <c r="C140" s="90"/>
      <c r="D140" s="200"/>
      <c r="E140" s="200"/>
      <c r="F140" s="212">
        <f>G140+H140+I140+J140</f>
        <v>0</v>
      </c>
      <c r="G140" s="90"/>
      <c r="H140" s="90"/>
      <c r="I140" s="90"/>
      <c r="J140" s="90"/>
    </row>
    <row r="141" spans="1:14" ht="38.85" customHeight="1">
      <c r="A141" s="10" t="s">
        <v>295</v>
      </c>
      <c r="B141" s="211">
        <v>1160</v>
      </c>
      <c r="C141" s="222"/>
      <c r="D141" s="223"/>
      <c r="E141" s="223"/>
      <c r="F141" s="212">
        <f>G141+H141+I141+J141</f>
        <v>0</v>
      </c>
      <c r="G141" s="90"/>
      <c r="H141" s="90"/>
      <c r="I141" s="90"/>
      <c r="J141" s="90"/>
    </row>
    <row r="142" spans="1:14" ht="45.2" customHeight="1">
      <c r="A142" s="10" t="s">
        <v>297</v>
      </c>
      <c r="B142" s="211">
        <v>1170</v>
      </c>
      <c r="C142" s="90"/>
      <c r="D142" s="223"/>
      <c r="E142" s="223"/>
      <c r="F142" s="212">
        <f>G142+H142+I142+J142</f>
        <v>0</v>
      </c>
      <c r="G142" s="90"/>
      <c r="H142" s="90"/>
      <c r="I142" s="90"/>
      <c r="J142" s="90"/>
    </row>
    <row r="143" spans="1:14" s="5" customFormat="1" ht="52.5" customHeight="1">
      <c r="A143" s="279" t="s">
        <v>260</v>
      </c>
      <c r="B143" s="209">
        <v>1200</v>
      </c>
      <c r="C143" s="215">
        <f>C138+C139+C141-C140-C142</f>
        <v>-207.61899999999878</v>
      </c>
      <c r="D143" s="215">
        <f>D138+D139+D141-D140-D142</f>
        <v>1184.7999999999925</v>
      </c>
      <c r="E143" s="215">
        <f t="shared" ref="E143:J143" si="26">E138+E139+E141-E140-E142</f>
        <v>-4.0021319591687643E-12</v>
      </c>
      <c r="F143" s="215">
        <f>F138+F139+F141-F140-F142</f>
        <v>-1.1642242725429242E-11</v>
      </c>
      <c r="G143" s="215">
        <f t="shared" si="26"/>
        <v>-2.2284396550276142E-12</v>
      </c>
      <c r="H143" s="215">
        <f t="shared" si="26"/>
        <v>-3.5926817076870066E-12</v>
      </c>
      <c r="I143" s="215">
        <f>I138+I139+I141-I140-I142</f>
        <v>-3.7063685454086226E-12</v>
      </c>
      <c r="J143" s="215">
        <f t="shared" si="26"/>
        <v>1.4663825709249068E-12</v>
      </c>
      <c r="L143" s="287"/>
    </row>
    <row r="144" spans="1:14" ht="25.15" customHeight="1">
      <c r="A144" s="8" t="s">
        <v>119</v>
      </c>
      <c r="B144" s="9">
        <v>1210</v>
      </c>
      <c r="C144" s="12"/>
      <c r="D144" s="12"/>
      <c r="E144" s="12"/>
      <c r="F144" s="12"/>
      <c r="G144" s="12"/>
      <c r="H144" s="12"/>
      <c r="I144" s="12"/>
      <c r="J144" s="12"/>
    </row>
    <row r="145" spans="1:17" ht="43.9" customHeight="1">
      <c r="A145" s="8" t="s">
        <v>120</v>
      </c>
      <c r="B145" s="9">
        <v>1220</v>
      </c>
      <c r="C145" s="12"/>
      <c r="D145" s="12"/>
      <c r="E145" s="12"/>
      <c r="F145" s="12"/>
      <c r="G145" s="12"/>
      <c r="H145" s="12"/>
      <c r="I145" s="12"/>
      <c r="J145" s="12"/>
    </row>
    <row r="146" spans="1:17" s="5" customFormat="1" ht="52.5" customHeight="1">
      <c r="A146" s="279" t="s">
        <v>262</v>
      </c>
      <c r="B146" s="209">
        <v>1230</v>
      </c>
      <c r="C146" s="215">
        <f t="shared" ref="C146:J146" si="27">C143-C144</f>
        <v>-207.61899999999878</v>
      </c>
      <c r="D146" s="215">
        <f t="shared" si="27"/>
        <v>1184.7999999999925</v>
      </c>
      <c r="E146" s="215">
        <f t="shared" si="27"/>
        <v>-4.0021319591687643E-12</v>
      </c>
      <c r="F146" s="215">
        <f t="shared" si="27"/>
        <v>-1.1642242725429242E-11</v>
      </c>
      <c r="G146" s="215">
        <f t="shared" si="27"/>
        <v>-2.2284396550276142E-12</v>
      </c>
      <c r="H146" s="215">
        <f t="shared" si="27"/>
        <v>-3.5926817076870066E-12</v>
      </c>
      <c r="I146" s="215">
        <f t="shared" si="27"/>
        <v>-3.7063685454086226E-12</v>
      </c>
      <c r="J146" s="215">
        <f t="shared" si="27"/>
        <v>1.4663825709249068E-12</v>
      </c>
      <c r="L146" s="287"/>
    </row>
    <row r="147" spans="1:17" s="5" customFormat="1" ht="52.5" customHeight="1">
      <c r="A147" s="406" t="s">
        <v>210</v>
      </c>
      <c r="B147" s="406"/>
      <c r="C147" s="406"/>
      <c r="D147" s="406"/>
      <c r="E147" s="406"/>
      <c r="F147" s="406"/>
      <c r="G147" s="406"/>
      <c r="H147" s="406"/>
      <c r="I147" s="406"/>
      <c r="J147" s="406"/>
      <c r="L147" s="287"/>
    </row>
    <row r="148" spans="1:17" ht="52.5" customHeight="1">
      <c r="A148" s="8" t="s">
        <v>8</v>
      </c>
      <c r="B148" s="9">
        <v>1240</v>
      </c>
      <c r="C148" s="12">
        <f t="shared" ref="C148:J148" si="28">C33+C77+C139+C141</f>
        <v>42085.3</v>
      </c>
      <c r="D148" s="12">
        <f t="shared" si="28"/>
        <v>55849.19999999999</v>
      </c>
      <c r="E148" s="12">
        <f t="shared" si="28"/>
        <v>61215.3</v>
      </c>
      <c r="F148" s="12">
        <f t="shared" si="28"/>
        <v>75410.2</v>
      </c>
      <c r="G148" s="12">
        <f t="shared" si="28"/>
        <v>18557.8</v>
      </c>
      <c r="H148" s="12">
        <f t="shared" si="28"/>
        <v>19514.099999999999</v>
      </c>
      <c r="I148" s="12">
        <f t="shared" si="28"/>
        <v>18394.899999999998</v>
      </c>
      <c r="J148" s="12">
        <f t="shared" si="28"/>
        <v>18943.400000000001</v>
      </c>
      <c r="K148" s="286">
        <v>42085.3</v>
      </c>
      <c r="M148" s="286">
        <f>K148-C148</f>
        <v>0</v>
      </c>
    </row>
    <row r="149" spans="1:17" ht="52.5" customHeight="1">
      <c r="A149" s="8" t="s">
        <v>101</v>
      </c>
      <c r="B149" s="9">
        <v>1250</v>
      </c>
      <c r="C149" s="12">
        <f t="shared" ref="C149:J149" si="29">C34+C81+C112+C121+C140+C142+C144</f>
        <v>42292.919000000002</v>
      </c>
      <c r="D149" s="12">
        <f t="shared" si="29"/>
        <v>54664.4</v>
      </c>
      <c r="E149" s="12">
        <f t="shared" si="29"/>
        <v>61215.3</v>
      </c>
      <c r="F149" s="12">
        <f t="shared" si="29"/>
        <v>75410.200000000012</v>
      </c>
      <c r="G149" s="12">
        <f t="shared" si="29"/>
        <v>18557.800000000003</v>
      </c>
      <c r="H149" s="12">
        <f t="shared" si="29"/>
        <v>19514.100000000002</v>
      </c>
      <c r="I149" s="12">
        <f t="shared" si="29"/>
        <v>18394.900000000001</v>
      </c>
      <c r="J149" s="12">
        <f t="shared" si="29"/>
        <v>18943.399999999998</v>
      </c>
      <c r="K149" s="286">
        <v>42292.9</v>
      </c>
      <c r="M149" s="286">
        <f>K149-C149</f>
        <v>-1.9000000000232831E-2</v>
      </c>
    </row>
    <row r="150" spans="1:17" ht="52.5" customHeight="1">
      <c r="A150" s="406" t="s">
        <v>185</v>
      </c>
      <c r="B150" s="406"/>
      <c r="C150" s="406"/>
      <c r="D150" s="406"/>
      <c r="E150" s="406"/>
      <c r="F150" s="406"/>
      <c r="G150" s="406"/>
      <c r="H150" s="406"/>
      <c r="I150" s="406"/>
      <c r="J150" s="406"/>
    </row>
    <row r="151" spans="1:17" ht="52.5" customHeight="1">
      <c r="A151" s="8" t="s">
        <v>211</v>
      </c>
      <c r="B151" s="224">
        <v>1260</v>
      </c>
      <c r="C151" s="296">
        <f t="shared" ref="C151:E151" si="30">C152+C153</f>
        <v>5463.6190000000006</v>
      </c>
      <c r="D151" s="296">
        <f t="shared" si="30"/>
        <v>5093.2999999999993</v>
      </c>
      <c r="E151" s="98">
        <f t="shared" si="30"/>
        <v>8492.7999999999993</v>
      </c>
      <c r="F151" s="98">
        <f>F152+F153</f>
        <v>11066.2</v>
      </c>
      <c r="G151" s="98">
        <f t="shared" ref="G151:J151" si="31">G152+G153</f>
        <v>2631.1</v>
      </c>
      <c r="H151" s="98">
        <f t="shared" si="31"/>
        <v>2991.7</v>
      </c>
      <c r="I151" s="98">
        <f t="shared" si="31"/>
        <v>2244.5</v>
      </c>
      <c r="J151" s="98">
        <f t="shared" si="31"/>
        <v>3198.8999999999996</v>
      </c>
    </row>
    <row r="152" spans="1:17" ht="52.5" customHeight="1">
      <c r="A152" s="8" t="s">
        <v>209</v>
      </c>
      <c r="B152" s="224">
        <v>1261</v>
      </c>
      <c r="C152" s="98">
        <f>C35</f>
        <v>3445.2190000000001</v>
      </c>
      <c r="D152" s="98">
        <v>2066.4</v>
      </c>
      <c r="E152" s="98">
        <f>E35</f>
        <v>4111.7</v>
      </c>
      <c r="F152" s="212">
        <f t="shared" ref="F152:F157" si="32">G152+H152+I152+J152</f>
        <v>6176.1</v>
      </c>
      <c r="G152" s="98">
        <f>G35</f>
        <v>1065.5999999999999</v>
      </c>
      <c r="H152" s="98">
        <f t="shared" ref="H152:J152" si="33">H35</f>
        <v>1805.5</v>
      </c>
      <c r="I152" s="98">
        <f t="shared" si="33"/>
        <v>1790</v>
      </c>
      <c r="J152" s="98">
        <f t="shared" si="33"/>
        <v>1515</v>
      </c>
    </row>
    <row r="153" spans="1:17" ht="52.5" customHeight="1">
      <c r="A153" s="8" t="s">
        <v>14</v>
      </c>
      <c r="B153" s="224">
        <v>1262</v>
      </c>
      <c r="C153" s="296">
        <f>C36+C37+C43+C104</f>
        <v>2018.4</v>
      </c>
      <c r="D153" s="296">
        <f>D36+D37+D43+D104</f>
        <v>3026.8999999999996</v>
      </c>
      <c r="E153" s="98">
        <f>E36+E37+E43+E104</f>
        <v>4381.1000000000004</v>
      </c>
      <c r="F153" s="90">
        <f t="shared" si="32"/>
        <v>4890.0999999999995</v>
      </c>
      <c r="G153" s="98">
        <f>G36+G37+G43+G104</f>
        <v>1565.5</v>
      </c>
      <c r="H153" s="98">
        <f>H36+H37+H43+H104</f>
        <v>1186.1999999999998</v>
      </c>
      <c r="I153" s="98">
        <f>I36+I37+I43+I104</f>
        <v>454.49999999999994</v>
      </c>
      <c r="J153" s="98">
        <f>J36+J37+J43+J104</f>
        <v>1683.8999999999999</v>
      </c>
    </row>
    <row r="154" spans="1:17" ht="52.5" customHeight="1">
      <c r="A154" s="8" t="s">
        <v>4</v>
      </c>
      <c r="B154" s="224">
        <v>1270</v>
      </c>
      <c r="C154" s="98">
        <f>C38+C89</f>
        <v>26968.6</v>
      </c>
      <c r="D154" s="98">
        <f>D38+D89</f>
        <v>38783.5</v>
      </c>
      <c r="E154" s="98">
        <f>E38+E89</f>
        <v>39346.5</v>
      </c>
      <c r="F154" s="212">
        <f t="shared" si="32"/>
        <v>47871.9</v>
      </c>
      <c r="G154" s="98">
        <f>G38+G89</f>
        <v>12477.6</v>
      </c>
      <c r="H154" s="98">
        <f t="shared" ref="H154:J154" si="34">H38+H89</f>
        <v>11798.1</v>
      </c>
      <c r="I154" s="98">
        <f t="shared" si="34"/>
        <v>11798.1</v>
      </c>
      <c r="J154" s="98">
        <f t="shared" si="34"/>
        <v>11798.1</v>
      </c>
      <c r="K154" s="278">
        <v>42371.774830000002</v>
      </c>
      <c r="L154" s="286">
        <f>F154/K154*100</f>
        <v>112.98063437764189</v>
      </c>
    </row>
    <row r="155" spans="1:17" ht="52.5" customHeight="1">
      <c r="A155" s="8" t="s">
        <v>5</v>
      </c>
      <c r="B155" s="224">
        <v>1280</v>
      </c>
      <c r="C155" s="98">
        <f>C90+C39</f>
        <v>5279.6</v>
      </c>
      <c r="D155" s="98">
        <f>D90+D39</f>
        <v>7655.3</v>
      </c>
      <c r="E155" s="98">
        <f>E90+E39</f>
        <v>7757.2</v>
      </c>
      <c r="F155" s="212">
        <f t="shared" si="32"/>
        <v>9573.9</v>
      </c>
      <c r="G155" s="98">
        <f t="shared" ref="G155:J155" si="35">G90+G39</f>
        <v>2291.3000000000002</v>
      </c>
      <c r="H155" s="98">
        <f t="shared" si="35"/>
        <v>2427.6</v>
      </c>
      <c r="I155" s="98">
        <f t="shared" si="35"/>
        <v>2427.5</v>
      </c>
      <c r="J155" s="98">
        <f t="shared" si="35"/>
        <v>2427.5</v>
      </c>
      <c r="K155" s="386">
        <f>C154+C155</f>
        <v>32248.199999999997</v>
      </c>
      <c r="L155" s="386">
        <f t="shared" ref="L155:N155" si="36">D154+D155</f>
        <v>46438.8</v>
      </c>
      <c r="M155" s="386">
        <f t="shared" si="36"/>
        <v>47103.7</v>
      </c>
      <c r="N155" s="386">
        <f t="shared" si="36"/>
        <v>57445.8</v>
      </c>
      <c r="O155" s="386"/>
      <c r="P155" s="386"/>
      <c r="Q155" s="386"/>
    </row>
    <row r="156" spans="1:17" ht="52.5" customHeight="1">
      <c r="A156" s="8" t="s">
        <v>6</v>
      </c>
      <c r="B156" s="224">
        <v>1290</v>
      </c>
      <c r="C156" s="98">
        <f>C41+C116+C91</f>
        <v>1840.4</v>
      </c>
      <c r="D156" s="98">
        <f>D41+D116</f>
        <v>550.6</v>
      </c>
      <c r="E156" s="98">
        <f>E41+E116+E91</f>
        <v>725.3</v>
      </c>
      <c r="F156" s="273">
        <f t="shared" si="32"/>
        <v>870.4</v>
      </c>
      <c r="G156" s="98">
        <f t="shared" ref="G156:J156" si="37">G41+G116+G91</f>
        <v>0</v>
      </c>
      <c r="H156" s="98">
        <f t="shared" si="37"/>
        <v>435.2</v>
      </c>
      <c r="I156" s="98">
        <f t="shared" si="37"/>
        <v>217.6</v>
      </c>
      <c r="J156" s="98">
        <f t="shared" si="37"/>
        <v>217.6</v>
      </c>
      <c r="L156" s="286">
        <v>7655.3</v>
      </c>
    </row>
    <row r="157" spans="1:17" ht="52.5" customHeight="1">
      <c r="A157" s="8" t="s">
        <v>15</v>
      </c>
      <c r="B157" s="224">
        <v>1300</v>
      </c>
      <c r="C157" s="98">
        <f>2745.9-5.2</f>
        <v>2740.7000000000003</v>
      </c>
      <c r="D157" s="296">
        <v>2685.5</v>
      </c>
      <c r="E157" s="98">
        <v>4893.5</v>
      </c>
      <c r="F157" s="90">
        <f t="shared" si="32"/>
        <v>6027.8</v>
      </c>
      <c r="G157" s="98">
        <v>1157.8</v>
      </c>
      <c r="H157" s="98">
        <v>1861.5</v>
      </c>
      <c r="I157" s="98">
        <v>1707.2</v>
      </c>
      <c r="J157" s="98">
        <v>1301.3</v>
      </c>
    </row>
    <row r="158" spans="1:17" s="5" customFormat="1" ht="52.5" customHeight="1">
      <c r="A158" s="10" t="s">
        <v>45</v>
      </c>
      <c r="B158" s="223">
        <v>1310</v>
      </c>
      <c r="C158" s="222">
        <f t="shared" ref="C158:J158" si="38">C151+C154+C155+C156+C157</f>
        <v>42292.918999999994</v>
      </c>
      <c r="D158" s="297">
        <f t="shared" si="38"/>
        <v>54768.200000000004</v>
      </c>
      <c r="E158" s="222">
        <f t="shared" si="38"/>
        <v>61215.3</v>
      </c>
      <c r="F158" s="222">
        <f>F151+F154+F155+F156+F157</f>
        <v>75410.2</v>
      </c>
      <c r="G158" s="222">
        <f t="shared" si="38"/>
        <v>18557.8</v>
      </c>
      <c r="H158" s="222">
        <f t="shared" si="38"/>
        <v>19514.099999999999</v>
      </c>
      <c r="I158" s="222">
        <f t="shared" si="38"/>
        <v>18394.899999999998</v>
      </c>
      <c r="J158" s="222">
        <f t="shared" si="38"/>
        <v>18943.399999999998</v>
      </c>
      <c r="K158" s="282"/>
      <c r="L158" s="287"/>
    </row>
    <row r="159" spans="1:17" s="5" customFormat="1" ht="52.5" customHeight="1">
      <c r="A159" s="44"/>
      <c r="B159" s="225"/>
      <c r="C159" s="226"/>
      <c r="D159" s="226"/>
      <c r="E159" s="226"/>
      <c r="F159" s="226"/>
      <c r="G159" s="226"/>
      <c r="H159" s="226"/>
      <c r="I159" s="226"/>
      <c r="J159" s="226"/>
      <c r="L159" s="287"/>
    </row>
    <row r="160" spans="1:17" s="5" customFormat="1" ht="15.95" customHeight="1">
      <c r="A160" s="44"/>
      <c r="B160" s="225"/>
      <c r="C160" s="226"/>
      <c r="D160" s="226"/>
      <c r="E160" s="226"/>
      <c r="F160" s="226"/>
      <c r="G160" s="227"/>
      <c r="H160" s="227"/>
      <c r="I160" s="227"/>
      <c r="J160" s="227"/>
      <c r="L160" s="287"/>
    </row>
    <row r="161" spans="1:12" ht="16.5" customHeight="1">
      <c r="A161" s="228"/>
      <c r="C161" s="25"/>
      <c r="D161" s="25"/>
      <c r="E161" s="25"/>
      <c r="F161" s="25"/>
      <c r="G161" s="25"/>
      <c r="H161" s="25"/>
      <c r="I161" s="25"/>
      <c r="J161" s="25"/>
    </row>
    <row r="162" spans="1:12" ht="20.100000000000001" customHeight="1">
      <c r="A162" s="44" t="s">
        <v>412</v>
      </c>
      <c r="B162" s="1"/>
      <c r="C162" s="392" t="s">
        <v>191</v>
      </c>
      <c r="D162" s="392"/>
      <c r="E162" s="392"/>
      <c r="F162" s="392"/>
      <c r="G162" s="14"/>
      <c r="H162" s="393" t="s">
        <v>413</v>
      </c>
      <c r="I162" s="393"/>
      <c r="J162" s="393"/>
    </row>
    <row r="163" spans="1:12" s="2" customFormat="1" ht="20.100000000000001" customHeight="1">
      <c r="A163" s="51" t="s">
        <v>353</v>
      </c>
      <c r="B163" s="3"/>
      <c r="C163" s="388" t="s">
        <v>228</v>
      </c>
      <c r="D163" s="388"/>
      <c r="E163" s="388"/>
      <c r="F163" s="388"/>
      <c r="G163" s="23"/>
      <c r="H163" s="389" t="s">
        <v>89</v>
      </c>
      <c r="I163" s="389"/>
      <c r="J163" s="389"/>
      <c r="L163" s="289"/>
    </row>
    <row r="164" spans="1:12">
      <c r="A164" s="228"/>
      <c r="C164" s="25"/>
      <c r="D164" s="25"/>
      <c r="E164" s="25"/>
      <c r="F164" s="25"/>
      <c r="G164" s="25"/>
      <c r="H164" s="25"/>
      <c r="I164" s="25"/>
      <c r="J164" s="25"/>
    </row>
    <row r="165" spans="1:12">
      <c r="A165" s="228"/>
      <c r="C165" s="280"/>
      <c r="D165" s="25"/>
      <c r="E165" s="25"/>
      <c r="F165" s="25"/>
      <c r="G165" s="25"/>
      <c r="H165" s="25"/>
      <c r="I165" s="25"/>
      <c r="J165" s="25"/>
    </row>
    <row r="166" spans="1:12">
      <c r="A166" s="228"/>
      <c r="C166" s="25"/>
      <c r="D166" s="3"/>
      <c r="E166" s="3"/>
      <c r="F166" s="3"/>
      <c r="G166" s="3"/>
      <c r="H166" s="3"/>
      <c r="I166" s="3"/>
      <c r="J166" s="3"/>
      <c r="L166" s="3"/>
    </row>
    <row r="167" spans="1:12">
      <c r="A167" s="228"/>
      <c r="C167" s="25"/>
      <c r="D167" s="3"/>
      <c r="E167" s="3"/>
      <c r="F167" s="3"/>
      <c r="G167" s="3"/>
      <c r="H167" s="3"/>
      <c r="I167" s="3"/>
      <c r="J167" s="3"/>
      <c r="L167" s="3"/>
    </row>
    <row r="168" spans="1:12">
      <c r="A168" s="228"/>
      <c r="C168" s="25"/>
      <c r="D168" s="3"/>
      <c r="E168" s="3"/>
      <c r="F168" s="3"/>
      <c r="G168" s="3"/>
      <c r="H168" s="3"/>
      <c r="I168" s="3"/>
      <c r="J168" s="3"/>
      <c r="L168" s="3"/>
    </row>
    <row r="169" spans="1:12">
      <c r="A169" s="228"/>
      <c r="C169" s="25"/>
      <c r="D169" s="3"/>
      <c r="E169" s="3"/>
      <c r="F169" s="3"/>
      <c r="G169" s="3"/>
      <c r="H169" s="3"/>
      <c r="I169" s="3"/>
      <c r="J169" s="3"/>
      <c r="L169" s="3"/>
    </row>
    <row r="170" spans="1:12">
      <c r="A170" s="228"/>
      <c r="C170" s="25"/>
      <c r="D170" s="3"/>
      <c r="E170" s="3"/>
      <c r="F170" s="3"/>
      <c r="G170" s="3"/>
      <c r="H170" s="3"/>
      <c r="I170" s="3"/>
      <c r="J170" s="3"/>
      <c r="L170" s="3"/>
    </row>
    <row r="171" spans="1:12">
      <c r="A171" s="228"/>
      <c r="C171" s="25"/>
      <c r="D171" s="3"/>
      <c r="E171" s="3"/>
      <c r="F171" s="3"/>
      <c r="G171" s="3"/>
      <c r="H171" s="3"/>
      <c r="I171" s="3"/>
      <c r="J171" s="3"/>
      <c r="L171" s="3"/>
    </row>
    <row r="172" spans="1:12">
      <c r="A172" s="228"/>
      <c r="C172" s="25"/>
      <c r="D172" s="3"/>
      <c r="E172" s="3"/>
      <c r="F172" s="3"/>
      <c r="G172" s="3"/>
      <c r="H172" s="3"/>
      <c r="I172" s="3"/>
      <c r="J172" s="3"/>
      <c r="L172" s="3"/>
    </row>
    <row r="173" spans="1:12">
      <c r="A173" s="228"/>
      <c r="C173" s="25"/>
      <c r="D173" s="3"/>
      <c r="E173" s="3"/>
      <c r="F173" s="3"/>
      <c r="G173" s="3"/>
      <c r="H173" s="3"/>
      <c r="I173" s="3"/>
      <c r="J173" s="3"/>
      <c r="L173" s="3"/>
    </row>
    <row r="174" spans="1:12">
      <c r="A174" s="228"/>
      <c r="C174" s="25"/>
      <c r="D174" s="25"/>
      <c r="E174" s="25"/>
      <c r="F174" s="25"/>
      <c r="G174" s="25"/>
      <c r="H174" s="25"/>
      <c r="I174" s="25"/>
      <c r="J174" s="25"/>
    </row>
    <row r="175" spans="1:12">
      <c r="A175" s="228"/>
      <c r="C175" s="25"/>
      <c r="D175" s="25"/>
      <c r="E175" s="25"/>
      <c r="F175" s="25"/>
      <c r="G175" s="25"/>
      <c r="H175" s="25"/>
      <c r="I175" s="25"/>
      <c r="J175" s="25"/>
    </row>
    <row r="176" spans="1:12">
      <c r="A176" s="228"/>
      <c r="C176" s="25"/>
      <c r="D176" s="25"/>
      <c r="E176" s="25"/>
      <c r="F176" s="25"/>
      <c r="G176" s="25"/>
      <c r="H176" s="25"/>
      <c r="I176" s="25"/>
      <c r="J176" s="25"/>
    </row>
    <row r="177" spans="1:10">
      <c r="A177" s="228"/>
      <c r="C177" s="25"/>
      <c r="D177" s="25"/>
      <c r="E177" s="25"/>
      <c r="F177" s="25"/>
      <c r="G177" s="25"/>
      <c r="H177" s="25"/>
      <c r="I177" s="25"/>
      <c r="J177" s="25"/>
    </row>
    <row r="178" spans="1:10">
      <c r="A178" s="228"/>
      <c r="C178" s="25"/>
      <c r="D178" s="25"/>
      <c r="E178" s="25"/>
      <c r="F178" s="25"/>
      <c r="G178" s="25"/>
      <c r="H178" s="25"/>
      <c r="I178" s="25"/>
      <c r="J178" s="25"/>
    </row>
    <row r="179" spans="1:10">
      <c r="A179" s="228"/>
      <c r="C179" s="25"/>
      <c r="D179" s="25"/>
      <c r="E179" s="25"/>
      <c r="F179" s="25"/>
      <c r="G179" s="25"/>
      <c r="H179" s="25"/>
      <c r="I179" s="25"/>
      <c r="J179" s="25"/>
    </row>
    <row r="180" spans="1:10">
      <c r="A180" s="228"/>
      <c r="C180" s="25"/>
      <c r="D180" s="25"/>
      <c r="E180" s="25"/>
      <c r="F180" s="25"/>
      <c r="G180" s="25"/>
      <c r="H180" s="25"/>
      <c r="I180" s="25"/>
      <c r="J180" s="25"/>
    </row>
    <row r="181" spans="1:10">
      <c r="A181" s="228"/>
      <c r="C181" s="25"/>
      <c r="D181" s="25"/>
      <c r="E181" s="25"/>
      <c r="F181" s="25"/>
      <c r="G181" s="25"/>
      <c r="H181" s="25"/>
      <c r="I181" s="25"/>
      <c r="J181" s="25"/>
    </row>
    <row r="182" spans="1:10">
      <c r="A182" s="228"/>
      <c r="C182" s="25"/>
      <c r="D182" s="25"/>
      <c r="E182" s="25"/>
      <c r="F182" s="25"/>
      <c r="G182" s="25"/>
      <c r="H182" s="25"/>
      <c r="I182" s="25"/>
      <c r="J182" s="25"/>
    </row>
    <row r="183" spans="1:10">
      <c r="A183" s="228"/>
      <c r="C183" s="25"/>
      <c r="D183" s="25"/>
      <c r="E183" s="25"/>
      <c r="F183" s="25"/>
      <c r="G183" s="25"/>
      <c r="H183" s="25"/>
      <c r="I183" s="25"/>
      <c r="J183" s="25"/>
    </row>
    <row r="184" spans="1:10">
      <c r="A184" s="228"/>
      <c r="C184" s="25"/>
      <c r="D184" s="25"/>
      <c r="E184" s="25"/>
      <c r="F184" s="25"/>
      <c r="G184" s="25"/>
      <c r="H184" s="25"/>
      <c r="I184" s="25"/>
      <c r="J184" s="25"/>
    </row>
    <row r="185" spans="1:10">
      <c r="A185" s="228"/>
      <c r="C185" s="25"/>
      <c r="D185" s="25"/>
      <c r="E185" s="25"/>
      <c r="F185" s="25"/>
      <c r="G185" s="25"/>
      <c r="H185" s="25"/>
      <c r="I185" s="25"/>
      <c r="J185" s="25"/>
    </row>
    <row r="186" spans="1:10">
      <c r="A186" s="228"/>
      <c r="C186" s="25"/>
      <c r="D186" s="25"/>
      <c r="E186" s="25"/>
      <c r="F186" s="25"/>
      <c r="G186" s="25"/>
      <c r="H186" s="25"/>
      <c r="I186" s="25"/>
      <c r="J186" s="25"/>
    </row>
    <row r="187" spans="1:10">
      <c r="A187" s="228"/>
      <c r="C187" s="25"/>
      <c r="D187" s="25"/>
      <c r="E187" s="25"/>
      <c r="F187" s="25"/>
      <c r="G187" s="25"/>
      <c r="H187" s="25"/>
      <c r="I187" s="25"/>
      <c r="J187" s="25"/>
    </row>
    <row r="188" spans="1:10">
      <c r="A188" s="228"/>
      <c r="C188" s="25"/>
      <c r="D188" s="25"/>
      <c r="E188" s="25"/>
      <c r="F188" s="25"/>
      <c r="G188" s="25"/>
      <c r="H188" s="25"/>
      <c r="I188" s="25"/>
      <c r="J188" s="25"/>
    </row>
    <row r="189" spans="1:10">
      <c r="A189" s="228"/>
      <c r="C189" s="25"/>
      <c r="D189" s="25"/>
      <c r="E189" s="25"/>
      <c r="F189" s="25"/>
      <c r="G189" s="25"/>
      <c r="H189" s="25"/>
      <c r="I189" s="25"/>
      <c r="J189" s="25"/>
    </row>
    <row r="190" spans="1:10">
      <c r="A190" s="228"/>
      <c r="C190" s="25"/>
      <c r="D190" s="25"/>
      <c r="E190" s="25"/>
      <c r="F190" s="25"/>
      <c r="G190" s="25"/>
      <c r="H190" s="25"/>
      <c r="I190" s="25"/>
      <c r="J190" s="25"/>
    </row>
    <row r="191" spans="1:10">
      <c r="A191" s="228"/>
      <c r="C191" s="25"/>
      <c r="D191" s="25"/>
      <c r="E191" s="25"/>
      <c r="F191" s="25"/>
      <c r="G191" s="25"/>
      <c r="H191" s="25"/>
      <c r="I191" s="25"/>
      <c r="J191" s="25"/>
    </row>
    <row r="192" spans="1:10">
      <c r="A192" s="228"/>
      <c r="C192" s="25"/>
      <c r="D192" s="25"/>
      <c r="E192" s="25"/>
      <c r="F192" s="25"/>
      <c r="G192" s="25"/>
      <c r="H192" s="25"/>
      <c r="I192" s="25"/>
      <c r="J192" s="25"/>
    </row>
    <row r="193" spans="1:10">
      <c r="A193" s="228"/>
      <c r="C193" s="25"/>
      <c r="D193" s="25"/>
      <c r="E193" s="25"/>
      <c r="F193" s="25"/>
      <c r="G193" s="25"/>
      <c r="H193" s="25"/>
      <c r="I193" s="25"/>
      <c r="J193" s="25"/>
    </row>
    <row r="194" spans="1:10">
      <c r="A194" s="228"/>
      <c r="C194" s="25"/>
      <c r="D194" s="25"/>
      <c r="E194" s="25"/>
      <c r="F194" s="25"/>
      <c r="G194" s="25"/>
      <c r="H194" s="25"/>
      <c r="I194" s="25"/>
      <c r="J194" s="25"/>
    </row>
    <row r="195" spans="1:10">
      <c r="A195" s="228"/>
      <c r="C195" s="25"/>
      <c r="D195" s="25"/>
      <c r="E195" s="25"/>
      <c r="F195" s="25"/>
      <c r="G195" s="25"/>
      <c r="H195" s="25"/>
      <c r="I195" s="25"/>
      <c r="J195" s="25"/>
    </row>
    <row r="196" spans="1:10">
      <c r="A196" s="228"/>
      <c r="C196" s="25"/>
      <c r="D196" s="25"/>
      <c r="E196" s="25"/>
      <c r="F196" s="25"/>
      <c r="G196" s="25"/>
      <c r="H196" s="25"/>
      <c r="I196" s="25"/>
      <c r="J196" s="25"/>
    </row>
    <row r="197" spans="1:10">
      <c r="A197" s="228"/>
      <c r="C197" s="25"/>
      <c r="D197" s="25"/>
      <c r="E197" s="25"/>
      <c r="F197" s="25"/>
      <c r="G197" s="25"/>
      <c r="H197" s="25"/>
      <c r="I197" s="25"/>
      <c r="J197" s="25"/>
    </row>
    <row r="198" spans="1:10">
      <c r="A198" s="228"/>
      <c r="C198" s="25"/>
      <c r="D198" s="25"/>
      <c r="E198" s="25"/>
      <c r="F198" s="25"/>
      <c r="G198" s="25"/>
      <c r="H198" s="25"/>
      <c r="I198" s="25"/>
      <c r="J198" s="25"/>
    </row>
    <row r="199" spans="1:10">
      <c r="A199" s="228"/>
      <c r="C199" s="25"/>
      <c r="D199" s="25"/>
      <c r="E199" s="25"/>
      <c r="F199" s="25"/>
      <c r="G199" s="25"/>
      <c r="H199" s="25"/>
      <c r="I199" s="25"/>
      <c r="J199" s="25"/>
    </row>
    <row r="200" spans="1:10">
      <c r="A200" s="228"/>
      <c r="C200" s="25"/>
      <c r="D200" s="25"/>
      <c r="E200" s="25"/>
      <c r="F200" s="25"/>
      <c r="G200" s="25"/>
      <c r="H200" s="25"/>
      <c r="I200" s="25"/>
      <c r="J200" s="25"/>
    </row>
    <row r="201" spans="1:10">
      <c r="A201" s="228"/>
      <c r="C201" s="25"/>
      <c r="D201" s="25"/>
      <c r="E201" s="25"/>
      <c r="F201" s="25"/>
      <c r="G201" s="25"/>
      <c r="H201" s="25"/>
      <c r="I201" s="25"/>
      <c r="J201" s="25"/>
    </row>
    <row r="202" spans="1:10">
      <c r="A202" s="228"/>
      <c r="C202" s="25"/>
      <c r="D202" s="25"/>
      <c r="E202" s="25"/>
      <c r="F202" s="25"/>
      <c r="G202" s="25"/>
      <c r="H202" s="25"/>
      <c r="I202" s="25"/>
      <c r="J202" s="25"/>
    </row>
    <row r="203" spans="1:10">
      <c r="A203" s="228"/>
      <c r="C203" s="25"/>
      <c r="D203" s="25"/>
      <c r="E203" s="25"/>
      <c r="F203" s="25"/>
      <c r="G203" s="25"/>
      <c r="H203" s="25"/>
      <c r="I203" s="25"/>
      <c r="J203" s="25"/>
    </row>
    <row r="204" spans="1:10">
      <c r="A204" s="228"/>
      <c r="C204" s="25"/>
      <c r="D204" s="25"/>
      <c r="E204" s="25"/>
      <c r="F204" s="25"/>
      <c r="G204" s="25"/>
      <c r="H204" s="25"/>
      <c r="I204" s="25"/>
      <c r="J204" s="25"/>
    </row>
    <row r="205" spans="1:10">
      <c r="A205" s="228"/>
      <c r="C205" s="25"/>
      <c r="D205" s="25"/>
      <c r="E205" s="25"/>
      <c r="F205" s="25"/>
      <c r="G205" s="25"/>
      <c r="H205" s="25"/>
      <c r="I205" s="25"/>
      <c r="J205" s="25"/>
    </row>
    <row r="206" spans="1:10">
      <c r="A206" s="228"/>
      <c r="C206" s="25"/>
      <c r="D206" s="25"/>
      <c r="E206" s="25"/>
      <c r="F206" s="25"/>
      <c r="G206" s="25"/>
      <c r="H206" s="25"/>
      <c r="I206" s="25"/>
      <c r="J206" s="25"/>
    </row>
    <row r="207" spans="1:10">
      <c r="A207" s="228"/>
      <c r="C207" s="25"/>
      <c r="D207" s="25"/>
      <c r="E207" s="25"/>
      <c r="F207" s="25"/>
      <c r="G207" s="25"/>
      <c r="H207" s="25"/>
      <c r="I207" s="25"/>
      <c r="J207" s="25"/>
    </row>
    <row r="208" spans="1:10">
      <c r="A208" s="228"/>
      <c r="C208" s="25"/>
      <c r="D208" s="25"/>
      <c r="E208" s="25"/>
      <c r="F208" s="25"/>
      <c r="G208" s="25"/>
      <c r="H208" s="25"/>
      <c r="I208" s="25"/>
      <c r="J208" s="25"/>
    </row>
    <row r="209" spans="1:10">
      <c r="A209" s="228"/>
      <c r="C209" s="25"/>
      <c r="D209" s="25"/>
      <c r="E209" s="25"/>
      <c r="F209" s="25"/>
      <c r="G209" s="25"/>
      <c r="H209" s="25"/>
      <c r="I209" s="25"/>
      <c r="J209" s="25"/>
    </row>
    <row r="210" spans="1:10">
      <c r="A210" s="228"/>
      <c r="C210" s="25"/>
      <c r="D210" s="25"/>
      <c r="E210" s="25"/>
      <c r="F210" s="25"/>
      <c r="G210" s="25"/>
      <c r="H210" s="25"/>
      <c r="I210" s="25"/>
      <c r="J210" s="25"/>
    </row>
    <row r="211" spans="1:10">
      <c r="A211" s="228"/>
      <c r="C211" s="25"/>
      <c r="D211" s="25"/>
      <c r="E211" s="25"/>
      <c r="F211" s="25"/>
      <c r="G211" s="25"/>
      <c r="H211" s="25"/>
      <c r="I211" s="25"/>
      <c r="J211" s="25"/>
    </row>
    <row r="212" spans="1:10">
      <c r="A212" s="228"/>
      <c r="C212" s="25"/>
      <c r="D212" s="25"/>
      <c r="E212" s="25"/>
      <c r="F212" s="25"/>
      <c r="G212" s="25"/>
      <c r="H212" s="25"/>
      <c r="I212" s="25"/>
      <c r="J212" s="25"/>
    </row>
    <row r="213" spans="1:10">
      <c r="A213" s="228"/>
      <c r="C213" s="25"/>
      <c r="D213" s="25"/>
      <c r="E213" s="25"/>
      <c r="F213" s="25"/>
      <c r="G213" s="25"/>
      <c r="H213" s="25"/>
      <c r="I213" s="25"/>
      <c r="J213" s="25"/>
    </row>
    <row r="214" spans="1:10">
      <c r="A214" s="228"/>
      <c r="C214" s="25"/>
      <c r="D214" s="25"/>
      <c r="E214" s="25"/>
      <c r="F214" s="25"/>
      <c r="G214" s="25"/>
      <c r="H214" s="25"/>
      <c r="I214" s="25"/>
      <c r="J214" s="25"/>
    </row>
    <row r="215" spans="1:10">
      <c r="A215" s="228"/>
      <c r="C215" s="25"/>
      <c r="D215" s="25"/>
      <c r="E215" s="25"/>
      <c r="F215" s="25"/>
      <c r="G215" s="25"/>
      <c r="H215" s="25"/>
      <c r="I215" s="25"/>
      <c r="J215" s="25"/>
    </row>
    <row r="216" spans="1:10">
      <c r="A216" s="228"/>
      <c r="C216" s="25"/>
      <c r="D216" s="25"/>
      <c r="E216" s="25"/>
      <c r="F216" s="25"/>
      <c r="G216" s="25"/>
      <c r="H216" s="25"/>
      <c r="I216" s="25"/>
      <c r="J216" s="25"/>
    </row>
    <row r="217" spans="1:10">
      <c r="A217" s="228"/>
      <c r="C217" s="25"/>
      <c r="D217" s="25"/>
      <c r="E217" s="25"/>
      <c r="F217" s="25"/>
      <c r="G217" s="25"/>
      <c r="H217" s="25"/>
      <c r="I217" s="25"/>
      <c r="J217" s="25"/>
    </row>
    <row r="218" spans="1:10">
      <c r="A218" s="228"/>
      <c r="C218" s="25"/>
      <c r="D218" s="25"/>
      <c r="E218" s="25"/>
      <c r="F218" s="25"/>
      <c r="G218" s="25"/>
      <c r="H218" s="25"/>
      <c r="I218" s="25"/>
      <c r="J218" s="25"/>
    </row>
    <row r="219" spans="1:10">
      <c r="A219" s="228"/>
      <c r="C219" s="25"/>
      <c r="D219" s="25"/>
      <c r="E219" s="25"/>
      <c r="F219" s="25"/>
      <c r="G219" s="25"/>
      <c r="H219" s="25"/>
      <c r="I219" s="25"/>
      <c r="J219" s="25"/>
    </row>
    <row r="220" spans="1:10">
      <c r="A220" s="228"/>
      <c r="C220" s="25"/>
      <c r="D220" s="25"/>
      <c r="E220" s="25"/>
      <c r="F220" s="25"/>
      <c r="G220" s="25"/>
      <c r="H220" s="25"/>
      <c r="I220" s="25"/>
      <c r="J220" s="25"/>
    </row>
    <row r="221" spans="1:10">
      <c r="A221" s="37"/>
    </row>
    <row r="222" spans="1:10">
      <c r="A222" s="37"/>
    </row>
    <row r="223" spans="1:10">
      <c r="A223" s="37"/>
    </row>
    <row r="224" spans="1:10">
      <c r="A224" s="37"/>
    </row>
    <row r="225" spans="1:1">
      <c r="A225" s="37"/>
    </row>
    <row r="226" spans="1:1">
      <c r="A226" s="37"/>
    </row>
    <row r="227" spans="1:1">
      <c r="A227" s="37"/>
    </row>
    <row r="228" spans="1:1">
      <c r="A228" s="37"/>
    </row>
    <row r="229" spans="1:1">
      <c r="A229" s="37"/>
    </row>
    <row r="230" spans="1:1">
      <c r="A230" s="37"/>
    </row>
    <row r="231" spans="1:1">
      <c r="A231" s="37"/>
    </row>
    <row r="232" spans="1:1">
      <c r="A232" s="37"/>
    </row>
    <row r="233" spans="1:1">
      <c r="A233" s="37"/>
    </row>
    <row r="234" spans="1:1">
      <c r="A234" s="37"/>
    </row>
    <row r="235" spans="1:1">
      <c r="A235" s="37"/>
    </row>
    <row r="236" spans="1:1">
      <c r="A236" s="37"/>
    </row>
    <row r="237" spans="1:1">
      <c r="A237" s="37"/>
    </row>
    <row r="238" spans="1:1">
      <c r="A238" s="37"/>
    </row>
    <row r="239" spans="1:1">
      <c r="A239" s="37"/>
    </row>
    <row r="240" spans="1:1">
      <c r="A240" s="37"/>
    </row>
    <row r="241" spans="1:1">
      <c r="A241" s="37"/>
    </row>
    <row r="242" spans="1:1">
      <c r="A242" s="37"/>
    </row>
    <row r="243" spans="1:1">
      <c r="A243" s="37"/>
    </row>
    <row r="244" spans="1:1">
      <c r="A244" s="37"/>
    </row>
    <row r="245" spans="1:1">
      <c r="A245" s="37"/>
    </row>
    <row r="246" spans="1:1">
      <c r="A246" s="37"/>
    </row>
    <row r="247" spans="1:1">
      <c r="A247" s="37"/>
    </row>
    <row r="248" spans="1:1">
      <c r="A248" s="37"/>
    </row>
    <row r="249" spans="1:1">
      <c r="A249" s="37"/>
    </row>
    <row r="250" spans="1:1">
      <c r="A250" s="37"/>
    </row>
    <row r="251" spans="1:1">
      <c r="A251" s="37"/>
    </row>
    <row r="252" spans="1:1">
      <c r="A252" s="37"/>
    </row>
    <row r="253" spans="1:1">
      <c r="A253" s="37"/>
    </row>
    <row r="254" spans="1:1">
      <c r="A254" s="37"/>
    </row>
    <row r="255" spans="1:1">
      <c r="A255" s="37"/>
    </row>
    <row r="256" spans="1:1">
      <c r="A256" s="37"/>
    </row>
    <row r="257" spans="1:1">
      <c r="A257" s="37"/>
    </row>
    <row r="258" spans="1:1">
      <c r="A258" s="37"/>
    </row>
    <row r="259" spans="1:1">
      <c r="A259" s="37"/>
    </row>
    <row r="260" spans="1:1">
      <c r="A260" s="37"/>
    </row>
    <row r="261" spans="1:1">
      <c r="A261" s="37"/>
    </row>
    <row r="262" spans="1:1">
      <c r="A262" s="37"/>
    </row>
    <row r="263" spans="1:1">
      <c r="A263" s="37"/>
    </row>
    <row r="264" spans="1:1">
      <c r="A264" s="37"/>
    </row>
    <row r="265" spans="1:1">
      <c r="A265" s="37"/>
    </row>
    <row r="266" spans="1:1">
      <c r="A266" s="37"/>
    </row>
    <row r="267" spans="1:1">
      <c r="A267" s="37"/>
    </row>
    <row r="268" spans="1:1">
      <c r="A268" s="37"/>
    </row>
    <row r="269" spans="1:1">
      <c r="A269" s="37"/>
    </row>
    <row r="270" spans="1:1">
      <c r="A270" s="37"/>
    </row>
    <row r="271" spans="1:1">
      <c r="A271" s="37"/>
    </row>
    <row r="272" spans="1:1">
      <c r="A272" s="37"/>
    </row>
    <row r="273" spans="1:1">
      <c r="A273" s="37"/>
    </row>
    <row r="274" spans="1:1">
      <c r="A274" s="37"/>
    </row>
    <row r="275" spans="1:1">
      <c r="A275" s="37"/>
    </row>
    <row r="276" spans="1:1">
      <c r="A276" s="37"/>
    </row>
    <row r="277" spans="1:1">
      <c r="A277" s="37"/>
    </row>
    <row r="278" spans="1:1">
      <c r="A278" s="37"/>
    </row>
    <row r="279" spans="1:1">
      <c r="A279" s="37"/>
    </row>
    <row r="280" spans="1:1">
      <c r="A280" s="37"/>
    </row>
    <row r="281" spans="1:1">
      <c r="A281" s="37"/>
    </row>
    <row r="282" spans="1:1">
      <c r="A282" s="37"/>
    </row>
    <row r="283" spans="1:1">
      <c r="A283" s="37"/>
    </row>
    <row r="284" spans="1:1">
      <c r="A284" s="37"/>
    </row>
    <row r="285" spans="1:1">
      <c r="A285" s="37"/>
    </row>
    <row r="286" spans="1:1">
      <c r="A286" s="37"/>
    </row>
    <row r="287" spans="1:1">
      <c r="A287" s="37"/>
    </row>
    <row r="288" spans="1:1">
      <c r="A288" s="37"/>
    </row>
    <row r="289" spans="1:1">
      <c r="A289" s="37"/>
    </row>
    <row r="290" spans="1:1">
      <c r="A290" s="37"/>
    </row>
    <row r="291" spans="1:1">
      <c r="A291" s="37"/>
    </row>
    <row r="292" spans="1:1">
      <c r="A292" s="37"/>
    </row>
    <row r="293" spans="1:1">
      <c r="A293" s="37"/>
    </row>
    <row r="294" spans="1:1">
      <c r="A294" s="37"/>
    </row>
    <row r="295" spans="1:1">
      <c r="A295" s="37"/>
    </row>
    <row r="296" spans="1:1">
      <c r="A296" s="37"/>
    </row>
    <row r="297" spans="1:1">
      <c r="A297" s="37"/>
    </row>
    <row r="298" spans="1:1">
      <c r="A298" s="37"/>
    </row>
    <row r="299" spans="1:1">
      <c r="A299" s="37"/>
    </row>
    <row r="300" spans="1:1">
      <c r="A300" s="37"/>
    </row>
    <row r="301" spans="1:1">
      <c r="A301" s="37"/>
    </row>
    <row r="302" spans="1:1">
      <c r="A302" s="37"/>
    </row>
    <row r="303" spans="1:1">
      <c r="A303" s="37"/>
    </row>
    <row r="304" spans="1:1">
      <c r="A304" s="37"/>
    </row>
    <row r="305" spans="1:1">
      <c r="A305" s="37"/>
    </row>
    <row r="306" spans="1:1">
      <c r="A306" s="37"/>
    </row>
    <row r="307" spans="1:1">
      <c r="A307" s="37"/>
    </row>
    <row r="308" spans="1:1">
      <c r="A308" s="37"/>
    </row>
    <row r="309" spans="1:1">
      <c r="A309" s="37"/>
    </row>
    <row r="310" spans="1:1">
      <c r="A310" s="37"/>
    </row>
    <row r="311" spans="1:1">
      <c r="A311" s="37"/>
    </row>
    <row r="312" spans="1:1">
      <c r="A312" s="37"/>
    </row>
    <row r="313" spans="1:1">
      <c r="A313" s="37"/>
    </row>
    <row r="314" spans="1:1">
      <c r="A314" s="37"/>
    </row>
    <row r="315" spans="1:1">
      <c r="A315" s="37"/>
    </row>
    <row r="316" spans="1:1">
      <c r="A316" s="37"/>
    </row>
    <row r="317" spans="1:1">
      <c r="A317" s="37"/>
    </row>
    <row r="318" spans="1:1">
      <c r="A318" s="37"/>
    </row>
    <row r="319" spans="1:1">
      <c r="A319" s="37"/>
    </row>
    <row r="320" spans="1:1">
      <c r="A320" s="37"/>
    </row>
    <row r="321" spans="1:1">
      <c r="A321" s="37"/>
    </row>
    <row r="322" spans="1:1">
      <c r="A322" s="37"/>
    </row>
    <row r="323" spans="1:1">
      <c r="A323" s="37"/>
    </row>
    <row r="324" spans="1:1">
      <c r="A324" s="37"/>
    </row>
    <row r="325" spans="1:1">
      <c r="A325" s="37"/>
    </row>
    <row r="326" spans="1:1">
      <c r="A326" s="37"/>
    </row>
    <row r="327" spans="1:1">
      <c r="A327" s="37"/>
    </row>
    <row r="328" spans="1:1">
      <c r="A328" s="37"/>
    </row>
    <row r="329" spans="1:1">
      <c r="A329" s="37"/>
    </row>
    <row r="330" spans="1:1">
      <c r="A330" s="37"/>
    </row>
    <row r="331" spans="1:1">
      <c r="A331" s="37"/>
    </row>
    <row r="332" spans="1:1">
      <c r="A332" s="37"/>
    </row>
    <row r="333" spans="1:1">
      <c r="A333" s="37"/>
    </row>
    <row r="334" spans="1:1">
      <c r="A334" s="37"/>
    </row>
    <row r="335" spans="1:1">
      <c r="A335" s="37"/>
    </row>
    <row r="336" spans="1:1">
      <c r="A336" s="37"/>
    </row>
    <row r="337" spans="1:1">
      <c r="A337" s="37"/>
    </row>
    <row r="338" spans="1:1">
      <c r="A338" s="37"/>
    </row>
    <row r="339" spans="1:1">
      <c r="A339" s="37"/>
    </row>
    <row r="340" spans="1:1">
      <c r="A340" s="37"/>
    </row>
    <row r="341" spans="1:1">
      <c r="A341" s="37"/>
    </row>
    <row r="342" spans="1:1">
      <c r="A342" s="37"/>
    </row>
    <row r="343" spans="1:1">
      <c r="A343" s="37"/>
    </row>
    <row r="344" spans="1:1">
      <c r="A344" s="37"/>
    </row>
    <row r="345" spans="1:1">
      <c r="A345" s="37"/>
    </row>
    <row r="346" spans="1:1">
      <c r="A346" s="37"/>
    </row>
    <row r="347" spans="1:1">
      <c r="A347" s="37"/>
    </row>
    <row r="348" spans="1:1">
      <c r="A348" s="37"/>
    </row>
    <row r="349" spans="1:1">
      <c r="A349" s="37"/>
    </row>
    <row r="350" spans="1:1">
      <c r="A350" s="37"/>
    </row>
    <row r="351" spans="1:1">
      <c r="A351" s="37"/>
    </row>
    <row r="352" spans="1:1">
      <c r="A352" s="37"/>
    </row>
    <row r="353" spans="1:1">
      <c r="A353" s="37"/>
    </row>
    <row r="354" spans="1:1">
      <c r="A354" s="37"/>
    </row>
    <row r="355" spans="1:1">
      <c r="A355" s="37"/>
    </row>
    <row r="356" spans="1:1">
      <c r="A356" s="37"/>
    </row>
    <row r="357" spans="1:1">
      <c r="A357" s="37"/>
    </row>
    <row r="358" spans="1:1">
      <c r="A358" s="37"/>
    </row>
    <row r="359" spans="1:1">
      <c r="A359" s="37"/>
    </row>
    <row r="360" spans="1:1">
      <c r="A360" s="37"/>
    </row>
    <row r="361" spans="1:1">
      <c r="A361" s="37"/>
    </row>
    <row r="362" spans="1:1">
      <c r="A362" s="37"/>
    </row>
    <row r="363" spans="1:1">
      <c r="A363" s="37"/>
    </row>
    <row r="364" spans="1:1">
      <c r="A364" s="37"/>
    </row>
    <row r="365" spans="1:1">
      <c r="A365" s="37"/>
    </row>
    <row r="366" spans="1:1">
      <c r="A366" s="37"/>
    </row>
    <row r="367" spans="1:1">
      <c r="A367" s="37"/>
    </row>
    <row r="368" spans="1:1">
      <c r="A368" s="37"/>
    </row>
    <row r="369" spans="1:1">
      <c r="A369" s="37"/>
    </row>
    <row r="370" spans="1:1">
      <c r="A370" s="37"/>
    </row>
    <row r="371" spans="1:1">
      <c r="A371" s="37"/>
    </row>
    <row r="372" spans="1:1">
      <c r="A372" s="37"/>
    </row>
    <row r="373" spans="1:1">
      <c r="A373" s="37"/>
    </row>
    <row r="374" spans="1:1">
      <c r="A374" s="37"/>
    </row>
    <row r="375" spans="1:1">
      <c r="A375" s="37"/>
    </row>
    <row r="376" spans="1:1">
      <c r="A376" s="37"/>
    </row>
    <row r="377" spans="1:1">
      <c r="A377" s="37"/>
    </row>
    <row r="378" spans="1:1">
      <c r="A378" s="37"/>
    </row>
    <row r="379" spans="1:1">
      <c r="A379" s="37"/>
    </row>
    <row r="380" spans="1:1">
      <c r="A380" s="37"/>
    </row>
    <row r="381" spans="1:1">
      <c r="A381" s="37"/>
    </row>
    <row r="382" spans="1:1">
      <c r="A382" s="37"/>
    </row>
    <row r="383" spans="1:1">
      <c r="A383" s="37"/>
    </row>
    <row r="384" spans="1:1">
      <c r="A384" s="37"/>
    </row>
    <row r="385" spans="1:1">
      <c r="A385" s="37"/>
    </row>
    <row r="386" spans="1:1">
      <c r="A386" s="37"/>
    </row>
    <row r="387" spans="1:1">
      <c r="A387" s="37"/>
    </row>
  </sheetData>
  <mergeCells count="15">
    <mergeCell ref="H163:J163"/>
    <mergeCell ref="G6:J6"/>
    <mergeCell ref="A9:J9"/>
    <mergeCell ref="A147:J147"/>
    <mergeCell ref="C162:F162"/>
    <mergeCell ref="H162:J162"/>
    <mergeCell ref="C163:F163"/>
    <mergeCell ref="A4:J4"/>
    <mergeCell ref="B6:B7"/>
    <mergeCell ref="A150:J150"/>
    <mergeCell ref="F6:F7"/>
    <mergeCell ref="D6:D7"/>
    <mergeCell ref="A6:A7"/>
    <mergeCell ref="E6:E7"/>
    <mergeCell ref="C6:C7"/>
  </mergeCells>
  <phoneticPr fontId="0" type="noConversion"/>
  <pageMargins left="0.59055118110236227" right="0.19685039370078741" top="0.78740157480314965" bottom="0.39370078740157483" header="0.19685039370078741" footer="0.11811023622047245"/>
  <pageSetup paperSize="9" scale="46" fitToHeight="0" orientation="portrait" verticalDpi="300" r:id="rId1"/>
  <headerFooter alignWithMargins="0">
    <oddHeader xml:space="preserve">&amp;C&amp;"Times New Roman,обычный"&amp;16 
&amp;18 5&amp;R&amp;"Times New Roman,обычный"&amp;14 
Продовження додатка 1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4:L189"/>
  <sheetViews>
    <sheetView view="pageBreakPreview" topLeftCell="A31" zoomScale="80" zoomScaleNormal="75" zoomScaleSheetLayoutView="80" workbookViewId="0">
      <selection activeCell="C23" sqref="C23"/>
    </sheetView>
  </sheetViews>
  <sheetFormatPr defaultColWidth="77.85546875" defaultRowHeight="18.75" outlineLevelRow="1"/>
  <cols>
    <col min="1" max="1" width="84" style="32" customWidth="1"/>
    <col min="2" max="2" width="10.7109375" style="35" customWidth="1"/>
    <col min="3" max="5" width="15.85546875" style="35" customWidth="1"/>
    <col min="6" max="10" width="15.85546875" style="32" customWidth="1"/>
    <col min="11" max="11" width="10" style="32" customWidth="1"/>
    <col min="12" max="12" width="9.5703125" style="32" customWidth="1"/>
    <col min="13" max="255" width="9.140625" style="32" customWidth="1"/>
    <col min="256" max="16384" width="77.85546875" style="32"/>
  </cols>
  <sheetData>
    <row r="4" spans="1:10">
      <c r="A4" s="409" t="s">
        <v>130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0" outlineLevel="1">
      <c r="A5" s="31"/>
      <c r="B5" s="40"/>
      <c r="C5" s="31"/>
      <c r="D5" s="31"/>
      <c r="E5" s="31"/>
      <c r="F5" s="31"/>
      <c r="G5" s="31"/>
      <c r="H5" s="31"/>
      <c r="I5" s="31"/>
      <c r="J5" s="31"/>
    </row>
    <row r="6" spans="1:10" ht="38.25" customHeight="1">
      <c r="A6" s="390" t="s">
        <v>197</v>
      </c>
      <c r="B6" s="410" t="s">
        <v>7</v>
      </c>
      <c r="C6" s="410" t="s">
        <v>17</v>
      </c>
      <c r="D6" s="398" t="s">
        <v>288</v>
      </c>
      <c r="E6" s="411" t="s">
        <v>284</v>
      </c>
      <c r="F6" s="391" t="s">
        <v>9</v>
      </c>
      <c r="G6" s="391" t="s">
        <v>285</v>
      </c>
      <c r="H6" s="391"/>
      <c r="I6" s="391"/>
      <c r="J6" s="391"/>
    </row>
    <row r="7" spans="1:10" ht="50.25" customHeight="1">
      <c r="A7" s="390"/>
      <c r="B7" s="410"/>
      <c r="C7" s="410"/>
      <c r="D7" s="402"/>
      <c r="E7" s="402"/>
      <c r="F7" s="391"/>
      <c r="G7" s="15" t="s">
        <v>156</v>
      </c>
      <c r="H7" s="15" t="s">
        <v>157</v>
      </c>
      <c r="I7" s="15" t="s">
        <v>158</v>
      </c>
      <c r="J7" s="15" t="s">
        <v>61</v>
      </c>
    </row>
    <row r="8" spans="1:10" ht="18" customHeight="1">
      <c r="A8" s="38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24.95" customHeight="1">
      <c r="A9" s="412" t="s">
        <v>126</v>
      </c>
      <c r="B9" s="412"/>
      <c r="C9" s="412"/>
      <c r="D9" s="412"/>
      <c r="E9" s="412"/>
      <c r="F9" s="412"/>
      <c r="G9" s="412"/>
      <c r="H9" s="412"/>
      <c r="I9" s="412"/>
      <c r="J9" s="412"/>
    </row>
    <row r="10" spans="1:10" ht="42.75" customHeight="1">
      <c r="A10" s="33" t="s">
        <v>47</v>
      </c>
      <c r="B10" s="7">
        <v>2000</v>
      </c>
      <c r="C10" s="96"/>
      <c r="D10" s="96"/>
      <c r="E10" s="96"/>
      <c r="F10" s="96"/>
      <c r="G10" s="96"/>
      <c r="H10" s="96"/>
      <c r="I10" s="96"/>
      <c r="J10" s="96"/>
    </row>
    <row r="11" spans="1:10" ht="20.100000000000001" customHeight="1">
      <c r="A11" s="33" t="s">
        <v>263</v>
      </c>
      <c r="B11" s="7">
        <v>2010</v>
      </c>
      <c r="C11" s="100"/>
      <c r="D11" s="100"/>
      <c r="E11" s="100"/>
      <c r="F11" s="100"/>
      <c r="G11" s="101"/>
      <c r="H11" s="101"/>
      <c r="I11" s="101"/>
      <c r="J11" s="101"/>
    </row>
    <row r="12" spans="1:10" ht="20.100000000000001" customHeight="1">
      <c r="A12" s="8" t="s">
        <v>159</v>
      </c>
      <c r="B12" s="7">
        <v>2020</v>
      </c>
      <c r="C12" s="100"/>
      <c r="D12" s="100"/>
      <c r="E12" s="100"/>
      <c r="F12" s="100"/>
      <c r="G12" s="101"/>
      <c r="H12" s="101"/>
      <c r="I12" s="101"/>
      <c r="J12" s="101"/>
    </row>
    <row r="13" spans="1:10" s="34" customFormat="1" ht="20.100000000000001" customHeight="1">
      <c r="A13" s="33" t="s">
        <v>58</v>
      </c>
      <c r="B13" s="7">
        <v>2030</v>
      </c>
      <c r="C13" s="100"/>
      <c r="D13" s="100"/>
      <c r="E13" s="100"/>
      <c r="F13" s="100"/>
      <c r="G13" s="100"/>
      <c r="H13" s="100"/>
      <c r="I13" s="100"/>
      <c r="J13" s="100"/>
    </row>
    <row r="14" spans="1:10" ht="20.100000000000001" customHeight="1">
      <c r="A14" s="33" t="s">
        <v>114</v>
      </c>
      <c r="B14" s="7">
        <v>2031</v>
      </c>
      <c r="C14" s="100"/>
      <c r="D14" s="100"/>
      <c r="E14" s="100"/>
      <c r="F14" s="100"/>
      <c r="G14" s="100"/>
      <c r="H14" s="100"/>
      <c r="I14" s="100"/>
      <c r="J14" s="100"/>
    </row>
    <row r="15" spans="1:10" ht="20.100000000000001" customHeight="1">
      <c r="A15" s="33" t="s">
        <v>12</v>
      </c>
      <c r="B15" s="7">
        <v>2040</v>
      </c>
      <c r="C15" s="102"/>
      <c r="D15" s="102"/>
      <c r="E15" s="102"/>
      <c r="F15" s="100"/>
      <c r="G15" s="100"/>
      <c r="H15" s="100"/>
      <c r="I15" s="100"/>
      <c r="J15" s="100"/>
    </row>
    <row r="16" spans="1:10" ht="20.100000000000001" customHeight="1">
      <c r="A16" s="33" t="s">
        <v>100</v>
      </c>
      <c r="B16" s="7">
        <v>2050</v>
      </c>
      <c r="C16" s="100"/>
      <c r="D16" s="100"/>
      <c r="E16" s="100"/>
      <c r="F16" s="100"/>
      <c r="G16" s="100"/>
      <c r="H16" s="100"/>
      <c r="I16" s="100"/>
      <c r="J16" s="100"/>
    </row>
    <row r="17" spans="1:12" ht="20.100000000000001" customHeight="1">
      <c r="A17" s="33" t="s">
        <v>296</v>
      </c>
      <c r="B17" s="7">
        <v>2060</v>
      </c>
      <c r="C17" s="100"/>
      <c r="D17" s="100"/>
      <c r="E17" s="100"/>
      <c r="F17" s="100"/>
      <c r="G17" s="100"/>
      <c r="H17" s="100"/>
      <c r="I17" s="100"/>
      <c r="J17" s="100"/>
    </row>
    <row r="18" spans="1:12" ht="42.75" customHeight="1">
      <c r="A18" s="33" t="s">
        <v>48</v>
      </c>
      <c r="B18" s="7">
        <v>2070</v>
      </c>
      <c r="C18" s="100"/>
      <c r="D18" s="100">
        <v>8475.1</v>
      </c>
      <c r="E18" s="100">
        <v>8475.1</v>
      </c>
      <c r="F18" s="100"/>
      <c r="G18" s="100"/>
      <c r="H18" s="100"/>
      <c r="I18" s="100"/>
      <c r="J18" s="100"/>
    </row>
    <row r="19" spans="1:12" ht="20.100000000000001" customHeight="1">
      <c r="A19" s="412" t="s">
        <v>127</v>
      </c>
      <c r="B19" s="412"/>
      <c r="C19" s="412"/>
      <c r="D19" s="412"/>
      <c r="E19" s="412"/>
      <c r="F19" s="412"/>
      <c r="G19" s="412"/>
      <c r="H19" s="412"/>
      <c r="I19" s="412"/>
      <c r="J19" s="412"/>
    </row>
    <row r="20" spans="1:12" ht="20.100000000000001" customHeight="1">
      <c r="A20" s="33" t="s">
        <v>263</v>
      </c>
      <c r="B20" s="7">
        <v>2100</v>
      </c>
      <c r="C20" s="100"/>
      <c r="D20" s="100"/>
      <c r="E20" s="100"/>
      <c r="F20" s="100"/>
      <c r="G20" s="101"/>
      <c r="H20" s="101"/>
      <c r="I20" s="101"/>
      <c r="J20" s="101"/>
    </row>
    <row r="21" spans="1:12" s="34" customFormat="1" ht="20.100000000000001" customHeight="1">
      <c r="A21" s="33" t="s">
        <v>129</v>
      </c>
      <c r="B21" s="39">
        <v>2110</v>
      </c>
      <c r="C21" s="100"/>
      <c r="D21" s="125"/>
      <c r="E21" s="125"/>
      <c r="F21" s="125"/>
      <c r="G21" s="125"/>
      <c r="H21" s="125"/>
      <c r="I21" s="125"/>
      <c r="J21" s="125"/>
    </row>
    <row r="22" spans="1:12" ht="42.75" customHeight="1">
      <c r="A22" s="33" t="s">
        <v>229</v>
      </c>
      <c r="B22" s="39">
        <v>2120</v>
      </c>
      <c r="C22" s="125"/>
      <c r="D22" s="125"/>
      <c r="E22" s="125"/>
      <c r="F22" s="125"/>
      <c r="G22" s="126"/>
      <c r="H22" s="126"/>
      <c r="I22" s="126"/>
      <c r="J22" s="126"/>
    </row>
    <row r="23" spans="1:12" ht="42.75" customHeight="1">
      <c r="A23" s="33" t="s">
        <v>230</v>
      </c>
      <c r="B23" s="39">
        <v>2130</v>
      </c>
      <c r="C23" s="125"/>
      <c r="D23" s="125"/>
      <c r="E23" s="125"/>
      <c r="F23" s="125"/>
      <c r="G23" s="126"/>
      <c r="H23" s="126"/>
      <c r="I23" s="126"/>
      <c r="J23" s="126"/>
    </row>
    <row r="24" spans="1:12" s="36" customFormat="1" ht="42.75" customHeight="1">
      <c r="A24" s="45" t="s">
        <v>189</v>
      </c>
      <c r="B24" s="60">
        <v>2140</v>
      </c>
      <c r="C24" s="96">
        <f>C25+C26+C27+C28+C29+C32+C33</f>
        <v>4892.2</v>
      </c>
      <c r="D24" s="96">
        <f t="shared" ref="D24:J24" si="0">D25+D26+D27+D28+D29+D32+D33</f>
        <v>6464</v>
      </c>
      <c r="E24" s="96">
        <f t="shared" si="0"/>
        <v>7660</v>
      </c>
      <c r="F24" s="96">
        <f t="shared" si="0"/>
        <v>8120</v>
      </c>
      <c r="G24" s="96">
        <f t="shared" si="0"/>
        <v>1960</v>
      </c>
      <c r="H24" s="96">
        <f t="shared" si="0"/>
        <v>2100</v>
      </c>
      <c r="I24" s="96">
        <f t="shared" si="0"/>
        <v>2100</v>
      </c>
      <c r="J24" s="96">
        <f t="shared" si="0"/>
        <v>1960</v>
      </c>
    </row>
    <row r="25" spans="1:12" ht="20.100000000000001" customHeight="1">
      <c r="A25" s="33" t="s">
        <v>75</v>
      </c>
      <c r="B25" s="39">
        <v>2141</v>
      </c>
      <c r="C25" s="100"/>
      <c r="D25" s="100"/>
      <c r="E25" s="100"/>
      <c r="F25" s="100"/>
      <c r="G25" s="101"/>
      <c r="H25" s="101"/>
      <c r="I25" s="101"/>
      <c r="J25" s="101"/>
    </row>
    <row r="26" spans="1:12" ht="20.100000000000001" customHeight="1">
      <c r="A26" s="33" t="s">
        <v>92</v>
      </c>
      <c r="B26" s="39">
        <v>2142</v>
      </c>
      <c r="C26" s="100"/>
      <c r="D26" s="100"/>
      <c r="E26" s="125"/>
      <c r="F26" s="125"/>
      <c r="G26" s="126"/>
      <c r="H26" s="126"/>
      <c r="I26" s="126"/>
      <c r="J26" s="126"/>
      <c r="K26" s="127"/>
      <c r="L26" s="127"/>
    </row>
    <row r="27" spans="1:12" ht="20.100000000000001" customHeight="1">
      <c r="A27" s="33" t="s">
        <v>88</v>
      </c>
      <c r="B27" s="39">
        <v>2143</v>
      </c>
      <c r="C27" s="100"/>
      <c r="D27" s="100"/>
      <c r="E27" s="125"/>
      <c r="F27" s="125"/>
      <c r="G27" s="126"/>
      <c r="H27" s="126"/>
      <c r="I27" s="126"/>
      <c r="J27" s="126"/>
      <c r="K27" s="127"/>
      <c r="L27" s="127"/>
    </row>
    <row r="28" spans="1:12" ht="20.100000000000001" customHeight="1">
      <c r="A28" s="33" t="s">
        <v>73</v>
      </c>
      <c r="B28" s="39">
        <v>2144</v>
      </c>
      <c r="C28" s="100">
        <v>4892.2</v>
      </c>
      <c r="D28" s="125">
        <v>6464</v>
      </c>
      <c r="E28" s="125">
        <v>7660</v>
      </c>
      <c r="F28" s="125">
        <f>G28+H28+I28+J28</f>
        <v>8120</v>
      </c>
      <c r="G28" s="126">
        <v>1960</v>
      </c>
      <c r="H28" s="126">
        <v>2100</v>
      </c>
      <c r="I28" s="126">
        <v>2100</v>
      </c>
      <c r="J28" s="126">
        <v>1960</v>
      </c>
      <c r="K28" s="127"/>
      <c r="L28" s="127"/>
    </row>
    <row r="29" spans="1:12" s="34" customFormat="1" ht="20.100000000000001" customHeight="1">
      <c r="A29" s="33" t="s">
        <v>143</v>
      </c>
      <c r="B29" s="39">
        <v>2145</v>
      </c>
      <c r="C29" s="100"/>
      <c r="D29" s="100"/>
      <c r="E29" s="125"/>
      <c r="F29" s="125"/>
      <c r="G29" s="125"/>
      <c r="H29" s="125"/>
      <c r="I29" s="125"/>
      <c r="J29" s="125"/>
      <c r="K29" s="128"/>
      <c r="L29" s="128"/>
    </row>
    <row r="30" spans="1:12" ht="42.75" customHeight="1">
      <c r="A30" s="33" t="s">
        <v>194</v>
      </c>
      <c r="B30" s="39" t="s">
        <v>179</v>
      </c>
      <c r="C30" s="100"/>
      <c r="D30" s="100"/>
      <c r="E30" s="125"/>
      <c r="F30" s="125"/>
      <c r="G30" s="126"/>
      <c r="H30" s="126"/>
      <c r="I30" s="126"/>
      <c r="J30" s="126"/>
      <c r="K30" s="127"/>
      <c r="L30" s="127"/>
    </row>
    <row r="31" spans="1:12" ht="20.100000000000001" customHeight="1">
      <c r="A31" s="33" t="s">
        <v>13</v>
      </c>
      <c r="B31" s="39" t="s">
        <v>180</v>
      </c>
      <c r="C31" s="100"/>
      <c r="D31" s="100"/>
      <c r="E31" s="125"/>
      <c r="F31" s="125"/>
      <c r="G31" s="126"/>
      <c r="H31" s="126"/>
      <c r="I31" s="126"/>
      <c r="J31" s="126"/>
      <c r="K31" s="127"/>
      <c r="L31" s="127"/>
    </row>
    <row r="32" spans="1:12" s="34" customFormat="1" ht="20.100000000000001" customHeight="1">
      <c r="A32" s="33" t="s">
        <v>293</v>
      </c>
      <c r="B32" s="39">
        <v>2146</v>
      </c>
      <c r="C32" s="100"/>
      <c r="D32" s="100"/>
      <c r="E32" s="125"/>
      <c r="F32" s="125"/>
      <c r="G32" s="125"/>
      <c r="H32" s="125"/>
      <c r="I32" s="125"/>
      <c r="J32" s="125"/>
      <c r="K32" s="128"/>
      <c r="L32" s="128"/>
    </row>
    <row r="33" spans="1:12" ht="20.100000000000001" customHeight="1">
      <c r="A33" s="33" t="s">
        <v>294</v>
      </c>
      <c r="B33" s="39">
        <v>2147</v>
      </c>
      <c r="C33" s="100"/>
      <c r="D33" s="100"/>
      <c r="E33" s="125"/>
      <c r="F33" s="125"/>
      <c r="G33" s="125"/>
      <c r="H33" s="125"/>
      <c r="I33" s="125"/>
      <c r="J33" s="125"/>
      <c r="K33" s="127"/>
    </row>
    <row r="34" spans="1:12" s="34" customFormat="1" ht="32.25" customHeight="1">
      <c r="A34" s="33" t="s">
        <v>74</v>
      </c>
      <c r="B34" s="39">
        <v>2150</v>
      </c>
      <c r="C34" s="100">
        <v>5279.6</v>
      </c>
      <c r="D34" s="125">
        <v>7096</v>
      </c>
      <c r="E34" s="125">
        <v>7757.2</v>
      </c>
      <c r="F34" s="125">
        <f>G34+H34+I34+J34</f>
        <v>9573.9</v>
      </c>
      <c r="G34" s="125">
        <f>'1.Фінансовий результат'!G39+'1.Фінансовий результат'!G90</f>
        <v>2291.3000000000002</v>
      </c>
      <c r="H34" s="125">
        <f>'1.Фінансовий результат'!H39+'1.Фінансовий результат'!H90</f>
        <v>2427.6</v>
      </c>
      <c r="I34" s="125">
        <f>'1.Фінансовий результат'!I39+'1.Фінансовий результат'!I90</f>
        <v>2427.5</v>
      </c>
      <c r="J34" s="125">
        <f>'1.Фінансовий результат'!J39+'1.Фінансовий результат'!J90</f>
        <v>2427.5</v>
      </c>
      <c r="K34" s="128"/>
    </row>
    <row r="35" spans="1:12" s="88" customFormat="1" ht="21.75" customHeight="1">
      <c r="A35" s="86" t="s">
        <v>199</v>
      </c>
      <c r="B35" s="87">
        <v>2200</v>
      </c>
      <c r="C35" s="97">
        <f>C20+C21+C22+C24+C34</f>
        <v>10171.799999999999</v>
      </c>
      <c r="D35" s="97">
        <f t="shared" ref="D35:J35" si="1">D20+D21+D22+D24+D34</f>
        <v>13560</v>
      </c>
      <c r="E35" s="97">
        <f t="shared" si="1"/>
        <v>15417.2</v>
      </c>
      <c r="F35" s="97">
        <f t="shared" si="1"/>
        <v>17693.900000000001</v>
      </c>
      <c r="G35" s="97">
        <f t="shared" si="1"/>
        <v>4251.3</v>
      </c>
      <c r="H35" s="97">
        <f t="shared" si="1"/>
        <v>4527.6000000000004</v>
      </c>
      <c r="I35" s="97">
        <f t="shared" si="1"/>
        <v>4527.5</v>
      </c>
      <c r="J35" s="97">
        <f t="shared" si="1"/>
        <v>4387.5</v>
      </c>
    </row>
    <row r="36" spans="1:12" s="34" customFormat="1" ht="20.100000000000001" customHeight="1">
      <c r="A36" s="50"/>
      <c r="B36" s="35"/>
      <c r="C36" s="48"/>
      <c r="D36" s="48"/>
      <c r="E36" s="48"/>
      <c r="F36" s="48"/>
      <c r="G36" s="49"/>
      <c r="H36" s="49"/>
      <c r="I36" s="49"/>
      <c r="J36" s="49"/>
    </row>
    <row r="37" spans="1:12" s="34" customFormat="1" ht="20.100000000000001" customHeight="1">
      <c r="A37" s="50"/>
      <c r="B37" s="35"/>
      <c r="C37" s="48"/>
      <c r="D37" s="48"/>
      <c r="E37" s="48"/>
      <c r="F37" s="48"/>
      <c r="G37" s="49"/>
      <c r="H37" s="49"/>
      <c r="I37" s="49"/>
      <c r="J37" s="49"/>
    </row>
    <row r="38" spans="1:12" s="3" customFormat="1" ht="20.100000000000001" customHeight="1">
      <c r="A38" s="44" t="s">
        <v>412</v>
      </c>
      <c r="B38" s="1"/>
      <c r="C38" s="392" t="s">
        <v>191</v>
      </c>
      <c r="D38" s="392"/>
      <c r="E38" s="392"/>
      <c r="F38" s="392"/>
      <c r="G38" s="14"/>
      <c r="H38" s="393" t="s">
        <v>413</v>
      </c>
      <c r="I38" s="393"/>
      <c r="J38" s="393"/>
    </row>
    <row r="39" spans="1:12" s="2" customFormat="1" ht="20.100000000000001" customHeight="1">
      <c r="A39" s="51" t="s">
        <v>353</v>
      </c>
      <c r="B39" s="3"/>
      <c r="C39" s="388" t="s">
        <v>228</v>
      </c>
      <c r="D39" s="388"/>
      <c r="E39" s="388"/>
      <c r="F39" s="388"/>
      <c r="G39" s="23"/>
      <c r="H39" s="389" t="s">
        <v>89</v>
      </c>
      <c r="I39" s="389"/>
      <c r="J39" s="389"/>
    </row>
    <row r="40" spans="1:12" s="35" customFormat="1">
      <c r="A40" s="47"/>
      <c r="F40" s="32"/>
      <c r="G40" s="32"/>
      <c r="H40" s="32"/>
      <c r="I40" s="32"/>
      <c r="J40" s="32"/>
      <c r="K40" s="32"/>
      <c r="L40" s="32"/>
    </row>
    <row r="41" spans="1:12" s="35" customFormat="1">
      <c r="A41" s="47"/>
      <c r="F41" s="32"/>
      <c r="G41" s="32"/>
      <c r="H41" s="32"/>
      <c r="I41" s="32"/>
      <c r="J41" s="32"/>
      <c r="K41" s="32"/>
      <c r="L41" s="32"/>
    </row>
    <row r="42" spans="1:12" s="35" customFormat="1">
      <c r="A42" s="47"/>
      <c r="F42" s="32"/>
      <c r="G42" s="32"/>
      <c r="H42" s="32"/>
      <c r="I42" s="32"/>
      <c r="J42" s="32"/>
      <c r="K42" s="32"/>
      <c r="L42" s="32"/>
    </row>
    <row r="43" spans="1:12" s="35" customFormat="1">
      <c r="A43" s="47"/>
      <c r="F43" s="32"/>
      <c r="G43" s="32"/>
      <c r="H43" s="32"/>
      <c r="I43" s="32"/>
      <c r="J43" s="32"/>
      <c r="K43" s="32"/>
      <c r="L43" s="32"/>
    </row>
    <row r="44" spans="1:12" s="35" customFormat="1">
      <c r="A44" s="47"/>
      <c r="F44" s="32"/>
      <c r="G44" s="32"/>
      <c r="H44" s="32"/>
      <c r="I44" s="32"/>
      <c r="J44" s="32"/>
      <c r="K44" s="32"/>
      <c r="L44" s="32"/>
    </row>
    <row r="45" spans="1:12" s="35" customFormat="1">
      <c r="A45" s="47"/>
      <c r="F45" s="32"/>
      <c r="G45" s="32"/>
      <c r="H45" s="32"/>
      <c r="I45" s="32"/>
      <c r="J45" s="32"/>
      <c r="K45" s="32"/>
      <c r="L45" s="32"/>
    </row>
    <row r="46" spans="1:12" s="35" customFormat="1">
      <c r="A46" s="47"/>
      <c r="F46" s="32"/>
      <c r="G46" s="32"/>
      <c r="H46" s="32"/>
      <c r="I46" s="32"/>
      <c r="J46" s="32"/>
      <c r="K46" s="32"/>
      <c r="L46" s="32"/>
    </row>
    <row r="47" spans="1:12" s="35" customFormat="1">
      <c r="A47" s="47"/>
      <c r="F47" s="32"/>
      <c r="G47" s="32"/>
      <c r="H47" s="32"/>
      <c r="I47" s="32"/>
      <c r="J47" s="32"/>
      <c r="K47" s="32"/>
      <c r="L47" s="32"/>
    </row>
    <row r="48" spans="1:12" s="35" customFormat="1">
      <c r="A48" s="47"/>
      <c r="F48" s="32"/>
      <c r="G48" s="32"/>
      <c r="H48" s="32"/>
      <c r="I48" s="32"/>
      <c r="J48" s="32"/>
      <c r="K48" s="32"/>
      <c r="L48" s="32"/>
    </row>
    <row r="49" spans="1:12" s="35" customFormat="1">
      <c r="A49" s="47"/>
      <c r="F49" s="32"/>
      <c r="G49" s="32"/>
      <c r="H49" s="32"/>
      <c r="I49" s="32"/>
      <c r="J49" s="32"/>
      <c r="K49" s="32"/>
      <c r="L49" s="32"/>
    </row>
    <row r="50" spans="1:12" s="35" customFormat="1">
      <c r="A50" s="47"/>
      <c r="F50" s="32"/>
      <c r="G50" s="32"/>
      <c r="H50" s="32"/>
      <c r="I50" s="32"/>
      <c r="J50" s="32"/>
      <c r="K50" s="32"/>
      <c r="L50" s="32"/>
    </row>
    <row r="51" spans="1:12" s="35" customFormat="1">
      <c r="A51" s="47"/>
      <c r="F51" s="32"/>
      <c r="G51" s="32"/>
      <c r="H51" s="32"/>
      <c r="I51" s="32"/>
      <c r="J51" s="32"/>
      <c r="K51" s="32"/>
      <c r="L51" s="32"/>
    </row>
    <row r="52" spans="1:12" s="35" customFormat="1">
      <c r="A52" s="47"/>
      <c r="F52" s="32"/>
      <c r="G52" s="32"/>
      <c r="H52" s="32"/>
      <c r="I52" s="32"/>
      <c r="J52" s="32"/>
      <c r="K52" s="32"/>
      <c r="L52" s="32"/>
    </row>
    <row r="53" spans="1:12" s="35" customFormat="1">
      <c r="A53" s="47"/>
      <c r="F53" s="32"/>
      <c r="G53" s="32"/>
      <c r="H53" s="32"/>
      <c r="I53" s="32"/>
      <c r="J53" s="32"/>
      <c r="K53" s="32"/>
      <c r="L53" s="32"/>
    </row>
    <row r="54" spans="1:12" s="35" customFormat="1">
      <c r="A54" s="47"/>
      <c r="F54" s="32"/>
      <c r="G54" s="32"/>
      <c r="H54" s="32"/>
      <c r="I54" s="32"/>
      <c r="J54" s="32"/>
      <c r="K54" s="32"/>
      <c r="L54" s="32"/>
    </row>
    <row r="55" spans="1:12" s="35" customFormat="1">
      <c r="A55" s="47"/>
      <c r="F55" s="32"/>
      <c r="G55" s="32"/>
      <c r="H55" s="32"/>
      <c r="I55" s="32"/>
      <c r="J55" s="32"/>
      <c r="K55" s="32"/>
      <c r="L55" s="32"/>
    </row>
    <row r="56" spans="1:12" s="35" customFormat="1">
      <c r="A56" s="47"/>
      <c r="F56" s="32"/>
      <c r="G56" s="32"/>
      <c r="H56" s="32"/>
      <c r="I56" s="32"/>
      <c r="J56" s="32"/>
      <c r="K56" s="32"/>
      <c r="L56" s="32"/>
    </row>
    <row r="57" spans="1:12" s="35" customFormat="1">
      <c r="A57" s="47"/>
      <c r="F57" s="32"/>
      <c r="G57" s="32"/>
      <c r="H57" s="32"/>
      <c r="I57" s="32"/>
      <c r="J57" s="32"/>
      <c r="K57" s="32"/>
      <c r="L57" s="32"/>
    </row>
    <row r="58" spans="1:12" s="35" customFormat="1">
      <c r="A58" s="47"/>
      <c r="F58" s="32"/>
      <c r="G58" s="32"/>
      <c r="H58" s="32"/>
      <c r="I58" s="32"/>
      <c r="J58" s="32"/>
      <c r="K58" s="32"/>
      <c r="L58" s="32"/>
    </row>
    <row r="59" spans="1:12" s="35" customFormat="1">
      <c r="A59" s="47"/>
      <c r="F59" s="32"/>
      <c r="G59" s="32"/>
      <c r="H59" s="32"/>
      <c r="I59" s="32"/>
      <c r="J59" s="32"/>
      <c r="K59" s="32"/>
      <c r="L59" s="32"/>
    </row>
    <row r="60" spans="1:12" s="35" customFormat="1">
      <c r="A60" s="47"/>
      <c r="F60" s="32"/>
      <c r="G60" s="32"/>
      <c r="H60" s="32"/>
      <c r="I60" s="32"/>
      <c r="J60" s="32"/>
      <c r="K60" s="32"/>
      <c r="L60" s="32"/>
    </row>
    <row r="61" spans="1:12" s="35" customFormat="1">
      <c r="A61" s="47"/>
      <c r="F61" s="32"/>
      <c r="G61" s="32"/>
      <c r="H61" s="32"/>
      <c r="I61" s="32"/>
      <c r="J61" s="32"/>
      <c r="K61" s="32"/>
      <c r="L61" s="32"/>
    </row>
    <row r="62" spans="1:12" s="35" customFormat="1">
      <c r="A62" s="47"/>
      <c r="F62" s="32"/>
      <c r="G62" s="32"/>
      <c r="H62" s="32"/>
      <c r="I62" s="32"/>
      <c r="J62" s="32"/>
      <c r="K62" s="32"/>
      <c r="L62" s="32"/>
    </row>
    <row r="63" spans="1:12" s="35" customFormat="1">
      <c r="A63" s="47"/>
      <c r="F63" s="32"/>
      <c r="G63" s="32"/>
      <c r="H63" s="32"/>
      <c r="I63" s="32"/>
      <c r="J63" s="32"/>
      <c r="K63" s="32"/>
      <c r="L63" s="32"/>
    </row>
    <row r="64" spans="1:12" s="35" customFormat="1">
      <c r="A64" s="47"/>
      <c r="F64" s="32"/>
      <c r="G64" s="32"/>
      <c r="H64" s="32"/>
      <c r="I64" s="32"/>
      <c r="J64" s="32"/>
      <c r="K64" s="32"/>
      <c r="L64" s="32"/>
    </row>
    <row r="65" spans="1:12" s="35" customFormat="1">
      <c r="A65" s="47"/>
      <c r="F65" s="32"/>
      <c r="G65" s="32"/>
      <c r="H65" s="32"/>
      <c r="I65" s="32"/>
      <c r="J65" s="32"/>
      <c r="K65" s="32"/>
      <c r="L65" s="32"/>
    </row>
    <row r="66" spans="1:12" s="35" customFormat="1">
      <c r="A66" s="47"/>
      <c r="F66" s="32"/>
      <c r="G66" s="32"/>
      <c r="H66" s="32"/>
      <c r="I66" s="32"/>
      <c r="J66" s="32"/>
      <c r="K66" s="32"/>
      <c r="L66" s="32"/>
    </row>
    <row r="67" spans="1:12" s="35" customFormat="1">
      <c r="A67" s="47"/>
      <c r="F67" s="32"/>
      <c r="G67" s="32"/>
      <c r="H67" s="32"/>
      <c r="I67" s="32"/>
      <c r="J67" s="32"/>
      <c r="K67" s="32"/>
      <c r="L67" s="32"/>
    </row>
    <row r="68" spans="1:12" s="35" customFormat="1">
      <c r="A68" s="47"/>
      <c r="F68" s="32"/>
      <c r="G68" s="32"/>
      <c r="H68" s="32"/>
      <c r="I68" s="32"/>
      <c r="J68" s="32"/>
      <c r="K68" s="32"/>
      <c r="L68" s="32"/>
    </row>
    <row r="69" spans="1:12" s="35" customFormat="1">
      <c r="A69" s="47"/>
      <c r="F69" s="32"/>
      <c r="G69" s="32"/>
      <c r="H69" s="32"/>
      <c r="I69" s="32"/>
      <c r="J69" s="32"/>
      <c r="K69" s="32"/>
      <c r="L69" s="32"/>
    </row>
    <row r="70" spans="1:12" s="35" customFormat="1">
      <c r="A70" s="47"/>
      <c r="F70" s="32"/>
      <c r="G70" s="32"/>
      <c r="H70" s="32"/>
      <c r="I70" s="32"/>
      <c r="J70" s="32"/>
      <c r="K70" s="32"/>
      <c r="L70" s="32"/>
    </row>
    <row r="71" spans="1:12" s="35" customFormat="1">
      <c r="A71" s="47"/>
      <c r="F71" s="32"/>
      <c r="G71" s="32"/>
      <c r="H71" s="32"/>
      <c r="I71" s="32"/>
      <c r="J71" s="32"/>
      <c r="K71" s="32"/>
      <c r="L71" s="32"/>
    </row>
    <row r="72" spans="1:12" s="35" customFormat="1">
      <c r="A72" s="47"/>
      <c r="F72" s="32"/>
      <c r="G72" s="32"/>
      <c r="H72" s="32"/>
      <c r="I72" s="32"/>
      <c r="J72" s="32"/>
      <c r="K72" s="32"/>
      <c r="L72" s="32"/>
    </row>
    <row r="73" spans="1:12" s="35" customFormat="1">
      <c r="A73" s="47"/>
      <c r="F73" s="32"/>
      <c r="G73" s="32"/>
      <c r="H73" s="32"/>
      <c r="I73" s="32"/>
      <c r="J73" s="32"/>
      <c r="K73" s="32"/>
      <c r="L73" s="32"/>
    </row>
    <row r="74" spans="1:12" s="35" customFormat="1">
      <c r="A74" s="47"/>
      <c r="F74" s="32"/>
      <c r="G74" s="32"/>
      <c r="H74" s="32"/>
      <c r="I74" s="32"/>
      <c r="J74" s="32"/>
      <c r="K74" s="32"/>
      <c r="L74" s="32"/>
    </row>
    <row r="75" spans="1:12" s="35" customFormat="1">
      <c r="A75" s="47"/>
      <c r="F75" s="32"/>
      <c r="G75" s="32"/>
      <c r="H75" s="32"/>
      <c r="I75" s="32"/>
      <c r="J75" s="32"/>
      <c r="K75" s="32"/>
      <c r="L75" s="32"/>
    </row>
    <row r="76" spans="1:12" s="35" customFormat="1">
      <c r="A76" s="47"/>
      <c r="F76" s="32"/>
      <c r="G76" s="32"/>
      <c r="H76" s="32"/>
      <c r="I76" s="32"/>
      <c r="J76" s="32"/>
      <c r="K76" s="32"/>
      <c r="L76" s="32"/>
    </row>
    <row r="77" spans="1:12" s="35" customFormat="1">
      <c r="A77" s="47"/>
      <c r="F77" s="32"/>
      <c r="G77" s="32"/>
      <c r="H77" s="32"/>
      <c r="I77" s="32"/>
      <c r="J77" s="32"/>
      <c r="K77" s="32"/>
      <c r="L77" s="32"/>
    </row>
    <row r="78" spans="1:12" s="35" customFormat="1">
      <c r="A78" s="47"/>
      <c r="F78" s="32"/>
      <c r="G78" s="32"/>
      <c r="H78" s="32"/>
      <c r="I78" s="32"/>
      <c r="J78" s="32"/>
      <c r="K78" s="32"/>
      <c r="L78" s="32"/>
    </row>
    <row r="79" spans="1:12" s="35" customFormat="1">
      <c r="A79" s="47"/>
      <c r="F79" s="32"/>
      <c r="G79" s="32"/>
      <c r="H79" s="32"/>
      <c r="I79" s="32"/>
      <c r="J79" s="32"/>
      <c r="K79" s="32"/>
      <c r="L79" s="32"/>
    </row>
    <row r="80" spans="1:12" s="35" customFormat="1">
      <c r="A80" s="47"/>
      <c r="F80" s="32"/>
      <c r="G80" s="32"/>
      <c r="H80" s="32"/>
      <c r="I80" s="32"/>
      <c r="J80" s="32"/>
      <c r="K80" s="32"/>
      <c r="L80" s="32"/>
    </row>
    <row r="81" spans="1:12" s="35" customFormat="1">
      <c r="A81" s="47"/>
      <c r="F81" s="32"/>
      <c r="G81" s="32"/>
      <c r="H81" s="32"/>
      <c r="I81" s="32"/>
      <c r="J81" s="32"/>
      <c r="K81" s="32"/>
      <c r="L81" s="32"/>
    </row>
    <row r="82" spans="1:12" s="35" customFormat="1">
      <c r="A82" s="47"/>
      <c r="F82" s="32"/>
      <c r="G82" s="32"/>
      <c r="H82" s="32"/>
      <c r="I82" s="32"/>
      <c r="J82" s="32"/>
      <c r="K82" s="32"/>
      <c r="L82" s="32"/>
    </row>
    <row r="83" spans="1:12" s="35" customFormat="1">
      <c r="A83" s="47"/>
      <c r="F83" s="32"/>
      <c r="G83" s="32"/>
      <c r="H83" s="32"/>
      <c r="I83" s="32"/>
      <c r="J83" s="32"/>
      <c r="K83" s="32"/>
      <c r="L83" s="32"/>
    </row>
    <row r="84" spans="1:12" s="35" customFormat="1">
      <c r="A84" s="47"/>
      <c r="F84" s="32"/>
      <c r="G84" s="32"/>
      <c r="H84" s="32"/>
      <c r="I84" s="32"/>
      <c r="J84" s="32"/>
      <c r="K84" s="32"/>
      <c r="L84" s="32"/>
    </row>
    <row r="85" spans="1:12" s="35" customFormat="1">
      <c r="A85" s="47"/>
      <c r="F85" s="32"/>
      <c r="G85" s="32"/>
      <c r="H85" s="32"/>
      <c r="I85" s="32"/>
      <c r="J85" s="32"/>
      <c r="K85" s="32"/>
      <c r="L85" s="32"/>
    </row>
    <row r="86" spans="1:12" s="35" customFormat="1">
      <c r="A86" s="47"/>
      <c r="F86" s="32"/>
      <c r="G86" s="32"/>
      <c r="H86" s="32"/>
      <c r="I86" s="32"/>
      <c r="J86" s="32"/>
      <c r="K86" s="32"/>
      <c r="L86" s="32"/>
    </row>
    <row r="87" spans="1:12" s="35" customFormat="1">
      <c r="A87" s="47"/>
      <c r="F87" s="32"/>
      <c r="G87" s="32"/>
      <c r="H87" s="32"/>
      <c r="I87" s="32"/>
      <c r="J87" s="32"/>
      <c r="K87" s="32"/>
      <c r="L87" s="32"/>
    </row>
    <row r="88" spans="1:12" s="35" customFormat="1">
      <c r="A88" s="47"/>
      <c r="F88" s="32"/>
      <c r="G88" s="32"/>
      <c r="H88" s="32"/>
      <c r="I88" s="32"/>
      <c r="J88" s="32"/>
      <c r="K88" s="32"/>
      <c r="L88" s="32"/>
    </row>
    <row r="89" spans="1:12" s="35" customFormat="1">
      <c r="A89" s="47"/>
      <c r="F89" s="32"/>
      <c r="G89" s="32"/>
      <c r="H89" s="32"/>
      <c r="I89" s="32"/>
      <c r="J89" s="32"/>
      <c r="K89" s="32"/>
      <c r="L89" s="32"/>
    </row>
    <row r="90" spans="1:12" s="35" customFormat="1">
      <c r="A90" s="47"/>
      <c r="F90" s="32"/>
      <c r="G90" s="32"/>
      <c r="H90" s="32"/>
      <c r="I90" s="32"/>
      <c r="J90" s="32"/>
      <c r="K90" s="32"/>
      <c r="L90" s="32"/>
    </row>
    <row r="91" spans="1:12" s="35" customFormat="1">
      <c r="A91" s="47"/>
      <c r="F91" s="32"/>
      <c r="G91" s="32"/>
      <c r="H91" s="32"/>
      <c r="I91" s="32"/>
      <c r="J91" s="32"/>
      <c r="K91" s="32"/>
      <c r="L91" s="32"/>
    </row>
    <row r="92" spans="1:12" s="35" customFormat="1">
      <c r="A92" s="47"/>
      <c r="F92" s="32"/>
      <c r="G92" s="32"/>
      <c r="H92" s="32"/>
      <c r="I92" s="32"/>
      <c r="J92" s="32"/>
      <c r="K92" s="32"/>
      <c r="L92" s="32"/>
    </row>
    <row r="93" spans="1:12" s="35" customFormat="1">
      <c r="A93" s="47"/>
      <c r="F93" s="32"/>
      <c r="G93" s="32"/>
      <c r="H93" s="32"/>
      <c r="I93" s="32"/>
      <c r="J93" s="32"/>
      <c r="K93" s="32"/>
      <c r="L93" s="32"/>
    </row>
    <row r="94" spans="1:12" s="35" customFormat="1">
      <c r="A94" s="47"/>
      <c r="F94" s="32"/>
      <c r="G94" s="32"/>
      <c r="H94" s="32"/>
      <c r="I94" s="32"/>
      <c r="J94" s="32"/>
      <c r="K94" s="32"/>
      <c r="L94" s="32"/>
    </row>
    <row r="95" spans="1:12" s="35" customFormat="1">
      <c r="A95" s="47"/>
      <c r="F95" s="32"/>
      <c r="G95" s="32"/>
      <c r="H95" s="32"/>
      <c r="I95" s="32"/>
      <c r="J95" s="32"/>
      <c r="K95" s="32"/>
      <c r="L95" s="32"/>
    </row>
    <row r="96" spans="1:12" s="35" customFormat="1">
      <c r="A96" s="47"/>
      <c r="F96" s="32"/>
      <c r="G96" s="32"/>
      <c r="H96" s="32"/>
      <c r="I96" s="32"/>
      <c r="J96" s="32"/>
      <c r="K96" s="32"/>
      <c r="L96" s="32"/>
    </row>
    <row r="97" spans="1:12" s="35" customFormat="1">
      <c r="A97" s="47"/>
      <c r="F97" s="32"/>
      <c r="G97" s="32"/>
      <c r="H97" s="32"/>
      <c r="I97" s="32"/>
      <c r="J97" s="32"/>
      <c r="K97" s="32"/>
      <c r="L97" s="32"/>
    </row>
    <row r="98" spans="1:12" s="35" customFormat="1">
      <c r="A98" s="47"/>
      <c r="F98" s="32"/>
      <c r="G98" s="32"/>
      <c r="H98" s="32"/>
      <c r="I98" s="32"/>
      <c r="J98" s="32"/>
      <c r="K98" s="32"/>
      <c r="L98" s="32"/>
    </row>
    <row r="99" spans="1:12" s="35" customFormat="1">
      <c r="A99" s="47"/>
      <c r="F99" s="32"/>
      <c r="G99" s="32"/>
      <c r="H99" s="32"/>
      <c r="I99" s="32"/>
      <c r="J99" s="32"/>
      <c r="K99" s="32"/>
      <c r="L99" s="32"/>
    </row>
    <row r="100" spans="1:12" s="35" customFormat="1">
      <c r="A100" s="47"/>
      <c r="F100" s="32"/>
      <c r="G100" s="32"/>
      <c r="H100" s="32"/>
      <c r="I100" s="32"/>
      <c r="J100" s="32"/>
      <c r="K100" s="32"/>
      <c r="L100" s="32"/>
    </row>
    <row r="101" spans="1:12" s="35" customFormat="1">
      <c r="A101" s="47"/>
      <c r="F101" s="32"/>
      <c r="G101" s="32"/>
      <c r="H101" s="32"/>
      <c r="I101" s="32"/>
      <c r="J101" s="32"/>
      <c r="K101" s="32"/>
      <c r="L101" s="32"/>
    </row>
    <row r="102" spans="1:12" s="35" customFormat="1">
      <c r="A102" s="47"/>
      <c r="F102" s="32"/>
      <c r="G102" s="32"/>
      <c r="H102" s="32"/>
      <c r="I102" s="32"/>
      <c r="J102" s="32"/>
      <c r="K102" s="32"/>
      <c r="L102" s="32"/>
    </row>
    <row r="103" spans="1:12" s="35" customFormat="1">
      <c r="A103" s="47"/>
      <c r="F103" s="32"/>
      <c r="G103" s="32"/>
      <c r="H103" s="32"/>
      <c r="I103" s="32"/>
      <c r="J103" s="32"/>
      <c r="K103" s="32"/>
      <c r="L103" s="32"/>
    </row>
    <row r="104" spans="1:12" s="35" customFormat="1">
      <c r="A104" s="47"/>
      <c r="F104" s="32"/>
      <c r="G104" s="32"/>
      <c r="H104" s="32"/>
      <c r="I104" s="32"/>
      <c r="J104" s="32"/>
      <c r="K104" s="32"/>
      <c r="L104" s="32"/>
    </row>
    <row r="105" spans="1:12" s="35" customFormat="1">
      <c r="A105" s="47"/>
      <c r="F105" s="32"/>
      <c r="G105" s="32"/>
      <c r="H105" s="32"/>
      <c r="I105" s="32"/>
      <c r="J105" s="32"/>
      <c r="K105" s="32"/>
      <c r="L105" s="32"/>
    </row>
    <row r="106" spans="1:12" s="35" customFormat="1">
      <c r="A106" s="47"/>
      <c r="F106" s="32"/>
      <c r="G106" s="32"/>
      <c r="H106" s="32"/>
      <c r="I106" s="32"/>
      <c r="J106" s="32"/>
      <c r="K106" s="32"/>
      <c r="L106" s="32"/>
    </row>
    <row r="107" spans="1:12" s="35" customFormat="1">
      <c r="A107" s="47"/>
      <c r="F107" s="32"/>
      <c r="G107" s="32"/>
      <c r="H107" s="32"/>
      <c r="I107" s="32"/>
      <c r="J107" s="32"/>
      <c r="K107" s="32"/>
      <c r="L107" s="32"/>
    </row>
    <row r="108" spans="1:12" s="35" customFormat="1">
      <c r="A108" s="47"/>
      <c r="F108" s="32"/>
      <c r="G108" s="32"/>
      <c r="H108" s="32"/>
      <c r="I108" s="32"/>
      <c r="J108" s="32"/>
      <c r="K108" s="32"/>
      <c r="L108" s="32"/>
    </row>
    <row r="109" spans="1:12" s="35" customFormat="1">
      <c r="A109" s="47"/>
      <c r="F109" s="32"/>
      <c r="G109" s="32"/>
      <c r="H109" s="32"/>
      <c r="I109" s="32"/>
      <c r="J109" s="32"/>
      <c r="K109" s="32"/>
      <c r="L109" s="32"/>
    </row>
    <row r="110" spans="1:12" s="35" customFormat="1">
      <c r="A110" s="47"/>
      <c r="F110" s="32"/>
      <c r="G110" s="32"/>
      <c r="H110" s="32"/>
      <c r="I110" s="32"/>
      <c r="J110" s="32"/>
      <c r="K110" s="32"/>
      <c r="L110" s="32"/>
    </row>
    <row r="111" spans="1:12" s="35" customFormat="1">
      <c r="A111" s="47"/>
      <c r="F111" s="32"/>
      <c r="G111" s="32"/>
      <c r="H111" s="32"/>
      <c r="I111" s="32"/>
      <c r="J111" s="32"/>
      <c r="K111" s="32"/>
      <c r="L111" s="32"/>
    </row>
    <row r="112" spans="1:12" s="35" customFormat="1">
      <c r="A112" s="47"/>
      <c r="F112" s="32"/>
      <c r="G112" s="32"/>
      <c r="H112" s="32"/>
      <c r="I112" s="32"/>
      <c r="J112" s="32"/>
      <c r="K112" s="32"/>
      <c r="L112" s="32"/>
    </row>
    <row r="113" spans="1:12" s="35" customFormat="1">
      <c r="A113" s="47"/>
      <c r="F113" s="32"/>
      <c r="G113" s="32"/>
      <c r="H113" s="32"/>
      <c r="I113" s="32"/>
      <c r="J113" s="32"/>
      <c r="K113" s="32"/>
      <c r="L113" s="32"/>
    </row>
    <row r="114" spans="1:12" s="35" customFormat="1">
      <c r="A114" s="47"/>
      <c r="F114" s="32"/>
      <c r="G114" s="32"/>
      <c r="H114" s="32"/>
      <c r="I114" s="32"/>
      <c r="J114" s="32"/>
      <c r="K114" s="32"/>
      <c r="L114" s="32"/>
    </row>
    <row r="115" spans="1:12" s="35" customFormat="1">
      <c r="A115" s="47"/>
      <c r="F115" s="32"/>
      <c r="G115" s="32"/>
      <c r="H115" s="32"/>
      <c r="I115" s="32"/>
      <c r="J115" s="32"/>
      <c r="K115" s="32"/>
      <c r="L115" s="32"/>
    </row>
    <row r="116" spans="1:12" s="35" customFormat="1">
      <c r="A116" s="47"/>
      <c r="F116" s="32"/>
      <c r="G116" s="32"/>
      <c r="H116" s="32"/>
      <c r="I116" s="32"/>
      <c r="J116" s="32"/>
      <c r="K116" s="32"/>
      <c r="L116" s="32"/>
    </row>
    <row r="117" spans="1:12" s="35" customFormat="1">
      <c r="A117" s="47"/>
      <c r="F117" s="32"/>
      <c r="G117" s="32"/>
      <c r="H117" s="32"/>
      <c r="I117" s="32"/>
      <c r="J117" s="32"/>
      <c r="K117" s="32"/>
      <c r="L117" s="32"/>
    </row>
    <row r="118" spans="1:12" s="35" customFormat="1">
      <c r="A118" s="47"/>
      <c r="F118" s="32"/>
      <c r="G118" s="32"/>
      <c r="H118" s="32"/>
      <c r="I118" s="32"/>
      <c r="J118" s="32"/>
      <c r="K118" s="32"/>
      <c r="L118" s="32"/>
    </row>
    <row r="119" spans="1:12" s="35" customFormat="1">
      <c r="A119" s="47"/>
      <c r="F119" s="32"/>
      <c r="G119" s="32"/>
      <c r="H119" s="32"/>
      <c r="I119" s="32"/>
      <c r="J119" s="32"/>
      <c r="K119" s="32"/>
      <c r="L119" s="32"/>
    </row>
    <row r="120" spans="1:12" s="35" customFormat="1">
      <c r="A120" s="47"/>
      <c r="F120" s="32"/>
      <c r="G120" s="32"/>
      <c r="H120" s="32"/>
      <c r="I120" s="32"/>
      <c r="J120" s="32"/>
      <c r="K120" s="32"/>
      <c r="L120" s="32"/>
    </row>
    <row r="121" spans="1:12" s="35" customFormat="1">
      <c r="A121" s="47"/>
      <c r="F121" s="32"/>
      <c r="G121" s="32"/>
      <c r="H121" s="32"/>
      <c r="I121" s="32"/>
      <c r="J121" s="32"/>
      <c r="K121" s="32"/>
      <c r="L121" s="32"/>
    </row>
    <row r="122" spans="1:12" s="35" customFormat="1">
      <c r="A122" s="47"/>
      <c r="F122" s="32"/>
      <c r="G122" s="32"/>
      <c r="H122" s="32"/>
      <c r="I122" s="32"/>
      <c r="J122" s="32"/>
      <c r="K122" s="32"/>
      <c r="L122" s="32"/>
    </row>
    <row r="123" spans="1:12" s="35" customFormat="1">
      <c r="A123" s="47"/>
      <c r="F123" s="32"/>
      <c r="G123" s="32"/>
      <c r="H123" s="32"/>
      <c r="I123" s="32"/>
      <c r="J123" s="32"/>
      <c r="K123" s="32"/>
      <c r="L123" s="32"/>
    </row>
    <row r="124" spans="1:12" s="35" customFormat="1">
      <c r="A124" s="47"/>
      <c r="F124" s="32"/>
      <c r="G124" s="32"/>
      <c r="H124" s="32"/>
      <c r="I124" s="32"/>
      <c r="J124" s="32"/>
      <c r="K124" s="32"/>
      <c r="L124" s="32"/>
    </row>
    <row r="125" spans="1:12" s="35" customFormat="1">
      <c r="A125" s="47"/>
      <c r="F125" s="32"/>
      <c r="G125" s="32"/>
      <c r="H125" s="32"/>
      <c r="I125" s="32"/>
      <c r="J125" s="32"/>
      <c r="K125" s="32"/>
      <c r="L125" s="32"/>
    </row>
    <row r="126" spans="1:12" s="35" customFormat="1">
      <c r="A126" s="47"/>
      <c r="F126" s="32"/>
      <c r="G126" s="32"/>
      <c r="H126" s="32"/>
      <c r="I126" s="32"/>
      <c r="J126" s="32"/>
      <c r="K126" s="32"/>
      <c r="L126" s="32"/>
    </row>
    <row r="127" spans="1:12" s="35" customFormat="1">
      <c r="A127" s="47"/>
      <c r="F127" s="32"/>
      <c r="G127" s="32"/>
      <c r="H127" s="32"/>
      <c r="I127" s="32"/>
      <c r="J127" s="32"/>
      <c r="K127" s="32"/>
      <c r="L127" s="32"/>
    </row>
    <row r="128" spans="1:12" s="35" customFormat="1">
      <c r="A128" s="47"/>
      <c r="F128" s="32"/>
      <c r="G128" s="32"/>
      <c r="H128" s="32"/>
      <c r="I128" s="32"/>
      <c r="J128" s="32"/>
      <c r="K128" s="32"/>
      <c r="L128" s="32"/>
    </row>
    <row r="129" spans="1:12" s="35" customFormat="1">
      <c r="A129" s="47"/>
      <c r="F129" s="32"/>
      <c r="G129" s="32"/>
      <c r="H129" s="32"/>
      <c r="I129" s="32"/>
      <c r="J129" s="32"/>
      <c r="K129" s="32"/>
      <c r="L129" s="32"/>
    </row>
    <row r="130" spans="1:12" s="35" customFormat="1">
      <c r="A130" s="47"/>
      <c r="F130" s="32"/>
      <c r="G130" s="32"/>
      <c r="H130" s="32"/>
      <c r="I130" s="32"/>
      <c r="J130" s="32"/>
      <c r="K130" s="32"/>
      <c r="L130" s="32"/>
    </row>
    <row r="131" spans="1:12" s="35" customFormat="1">
      <c r="A131" s="47"/>
      <c r="F131" s="32"/>
      <c r="G131" s="32"/>
      <c r="H131" s="32"/>
      <c r="I131" s="32"/>
      <c r="J131" s="32"/>
      <c r="K131" s="32"/>
      <c r="L131" s="32"/>
    </row>
    <row r="132" spans="1:12" s="35" customFormat="1">
      <c r="A132" s="47"/>
      <c r="F132" s="32"/>
      <c r="G132" s="32"/>
      <c r="H132" s="32"/>
      <c r="I132" s="32"/>
      <c r="J132" s="32"/>
      <c r="K132" s="32"/>
      <c r="L132" s="32"/>
    </row>
    <row r="133" spans="1:12" s="35" customFormat="1">
      <c r="A133" s="47"/>
      <c r="F133" s="32"/>
      <c r="G133" s="32"/>
      <c r="H133" s="32"/>
      <c r="I133" s="32"/>
      <c r="J133" s="32"/>
      <c r="K133" s="32"/>
      <c r="L133" s="32"/>
    </row>
    <row r="134" spans="1:12" s="35" customFormat="1">
      <c r="A134" s="47"/>
      <c r="F134" s="32"/>
      <c r="G134" s="32"/>
      <c r="H134" s="32"/>
      <c r="I134" s="32"/>
      <c r="J134" s="32"/>
      <c r="K134" s="32"/>
      <c r="L134" s="32"/>
    </row>
    <row r="135" spans="1:12" s="35" customFormat="1">
      <c r="A135" s="47"/>
      <c r="F135" s="32"/>
      <c r="G135" s="32"/>
      <c r="H135" s="32"/>
      <c r="I135" s="32"/>
      <c r="J135" s="32"/>
      <c r="K135" s="32"/>
      <c r="L135" s="32"/>
    </row>
    <row r="136" spans="1:12" s="35" customFormat="1">
      <c r="A136" s="47"/>
      <c r="F136" s="32"/>
      <c r="G136" s="32"/>
      <c r="H136" s="32"/>
      <c r="I136" s="32"/>
      <c r="J136" s="32"/>
      <c r="K136" s="32"/>
      <c r="L136" s="32"/>
    </row>
    <row r="137" spans="1:12" s="35" customFormat="1">
      <c r="A137" s="47"/>
      <c r="F137" s="32"/>
      <c r="G137" s="32"/>
      <c r="H137" s="32"/>
      <c r="I137" s="32"/>
      <c r="J137" s="32"/>
      <c r="K137" s="32"/>
      <c r="L137" s="32"/>
    </row>
    <row r="138" spans="1:12" s="35" customFormat="1">
      <c r="A138" s="47"/>
      <c r="F138" s="32"/>
      <c r="G138" s="32"/>
      <c r="H138" s="32"/>
      <c r="I138" s="32"/>
      <c r="J138" s="32"/>
      <c r="K138" s="32"/>
      <c r="L138" s="32"/>
    </row>
    <row r="139" spans="1:12" s="35" customFormat="1">
      <c r="A139" s="47"/>
      <c r="F139" s="32"/>
      <c r="G139" s="32"/>
      <c r="H139" s="32"/>
      <c r="I139" s="32"/>
      <c r="J139" s="32"/>
      <c r="K139" s="32"/>
      <c r="L139" s="32"/>
    </row>
    <row r="140" spans="1:12" s="35" customFormat="1">
      <c r="A140" s="47"/>
      <c r="F140" s="32"/>
      <c r="G140" s="32"/>
      <c r="H140" s="32"/>
      <c r="I140" s="32"/>
      <c r="J140" s="32"/>
      <c r="K140" s="32"/>
      <c r="L140" s="32"/>
    </row>
    <row r="141" spans="1:12" s="35" customFormat="1">
      <c r="A141" s="47"/>
      <c r="F141" s="32"/>
      <c r="G141" s="32"/>
      <c r="H141" s="32"/>
      <c r="I141" s="32"/>
      <c r="J141" s="32"/>
      <c r="K141" s="32"/>
      <c r="L141" s="32"/>
    </row>
    <row r="142" spans="1:12" s="35" customFormat="1">
      <c r="A142" s="47"/>
      <c r="F142" s="32"/>
      <c r="G142" s="32"/>
      <c r="H142" s="32"/>
      <c r="I142" s="32"/>
      <c r="J142" s="32"/>
      <c r="K142" s="32"/>
      <c r="L142" s="32"/>
    </row>
    <row r="143" spans="1:12" s="35" customFormat="1">
      <c r="A143" s="47"/>
      <c r="F143" s="32"/>
      <c r="G143" s="32"/>
      <c r="H143" s="32"/>
      <c r="I143" s="32"/>
      <c r="J143" s="32"/>
      <c r="K143" s="32"/>
      <c r="L143" s="32"/>
    </row>
    <row r="144" spans="1:12" s="35" customFormat="1">
      <c r="A144" s="47"/>
      <c r="F144" s="32"/>
      <c r="G144" s="32"/>
      <c r="H144" s="32"/>
      <c r="I144" s="32"/>
      <c r="J144" s="32"/>
      <c r="K144" s="32"/>
      <c r="L144" s="32"/>
    </row>
    <row r="145" spans="1:12" s="35" customFormat="1">
      <c r="A145" s="47"/>
      <c r="F145" s="32"/>
      <c r="G145" s="32"/>
      <c r="H145" s="32"/>
      <c r="I145" s="32"/>
      <c r="J145" s="32"/>
      <c r="K145" s="32"/>
      <c r="L145" s="32"/>
    </row>
    <row r="146" spans="1:12" s="35" customFormat="1">
      <c r="A146" s="47"/>
      <c r="F146" s="32"/>
      <c r="G146" s="32"/>
      <c r="H146" s="32"/>
      <c r="I146" s="32"/>
      <c r="J146" s="32"/>
      <c r="K146" s="32"/>
      <c r="L146" s="32"/>
    </row>
    <row r="147" spans="1:12" s="35" customFormat="1">
      <c r="A147" s="47"/>
      <c r="F147" s="32"/>
      <c r="G147" s="32"/>
      <c r="H147" s="32"/>
      <c r="I147" s="32"/>
      <c r="J147" s="32"/>
      <c r="K147" s="32"/>
      <c r="L147" s="32"/>
    </row>
    <row r="148" spans="1:12" s="35" customFormat="1">
      <c r="A148" s="47"/>
      <c r="F148" s="32"/>
      <c r="G148" s="32"/>
      <c r="H148" s="32"/>
      <c r="I148" s="32"/>
      <c r="J148" s="32"/>
      <c r="K148" s="32"/>
      <c r="L148" s="32"/>
    </row>
    <row r="149" spans="1:12" s="35" customFormat="1">
      <c r="A149" s="47"/>
      <c r="F149" s="32"/>
      <c r="G149" s="32"/>
      <c r="H149" s="32"/>
      <c r="I149" s="32"/>
      <c r="J149" s="32"/>
      <c r="K149" s="32"/>
      <c r="L149" s="32"/>
    </row>
    <row r="150" spans="1:12" s="35" customFormat="1">
      <c r="A150" s="47"/>
      <c r="F150" s="32"/>
      <c r="G150" s="32"/>
      <c r="H150" s="32"/>
      <c r="I150" s="32"/>
      <c r="J150" s="32"/>
      <c r="K150" s="32"/>
      <c r="L150" s="32"/>
    </row>
    <row r="151" spans="1:12" s="35" customFormat="1">
      <c r="A151" s="47"/>
      <c r="F151" s="32"/>
      <c r="G151" s="32"/>
      <c r="H151" s="32"/>
      <c r="I151" s="32"/>
      <c r="J151" s="32"/>
      <c r="K151" s="32"/>
      <c r="L151" s="32"/>
    </row>
    <row r="152" spans="1:12" s="35" customFormat="1">
      <c r="A152" s="47"/>
      <c r="F152" s="32"/>
      <c r="G152" s="32"/>
      <c r="H152" s="32"/>
      <c r="I152" s="32"/>
      <c r="J152" s="32"/>
      <c r="K152" s="32"/>
      <c r="L152" s="32"/>
    </row>
    <row r="153" spans="1:12" s="35" customFormat="1">
      <c r="A153" s="47"/>
      <c r="F153" s="32"/>
      <c r="G153" s="32"/>
      <c r="H153" s="32"/>
      <c r="I153" s="32"/>
      <c r="J153" s="32"/>
      <c r="K153" s="32"/>
      <c r="L153" s="32"/>
    </row>
    <row r="154" spans="1:12" s="35" customFormat="1">
      <c r="A154" s="47"/>
      <c r="F154" s="32"/>
      <c r="G154" s="32"/>
      <c r="H154" s="32"/>
      <c r="I154" s="32"/>
      <c r="J154" s="32"/>
      <c r="K154" s="32"/>
      <c r="L154" s="32"/>
    </row>
    <row r="155" spans="1:12" s="35" customFormat="1">
      <c r="A155" s="47"/>
      <c r="F155" s="32"/>
      <c r="G155" s="32"/>
      <c r="H155" s="32"/>
      <c r="I155" s="32"/>
      <c r="J155" s="32"/>
      <c r="K155" s="32"/>
      <c r="L155" s="32"/>
    </row>
    <row r="156" spans="1:12" s="35" customFormat="1">
      <c r="A156" s="47"/>
      <c r="F156" s="32"/>
      <c r="G156" s="32"/>
      <c r="H156" s="32"/>
      <c r="I156" s="32"/>
      <c r="J156" s="32"/>
      <c r="K156" s="32"/>
      <c r="L156" s="32"/>
    </row>
    <row r="157" spans="1:12" s="35" customFormat="1">
      <c r="A157" s="47"/>
      <c r="F157" s="32"/>
      <c r="G157" s="32"/>
      <c r="H157" s="32"/>
      <c r="I157" s="32"/>
      <c r="J157" s="32"/>
      <c r="K157" s="32"/>
      <c r="L157" s="32"/>
    </row>
    <row r="158" spans="1:12" s="35" customFormat="1">
      <c r="A158" s="47"/>
      <c r="F158" s="32"/>
      <c r="G158" s="32"/>
      <c r="H158" s="32"/>
      <c r="I158" s="32"/>
      <c r="J158" s="32"/>
      <c r="K158" s="32"/>
      <c r="L158" s="32"/>
    </row>
    <row r="159" spans="1:12" s="35" customFormat="1">
      <c r="A159" s="47"/>
      <c r="F159" s="32"/>
      <c r="G159" s="32"/>
      <c r="H159" s="32"/>
      <c r="I159" s="32"/>
      <c r="J159" s="32"/>
      <c r="K159" s="32"/>
      <c r="L159" s="32"/>
    </row>
    <row r="160" spans="1:12" s="35" customFormat="1">
      <c r="A160" s="47"/>
      <c r="F160" s="32"/>
      <c r="G160" s="32"/>
      <c r="H160" s="32"/>
      <c r="I160" s="32"/>
      <c r="J160" s="32"/>
      <c r="K160" s="32"/>
      <c r="L160" s="32"/>
    </row>
    <row r="161" spans="1:12" s="35" customFormat="1">
      <c r="A161" s="47"/>
      <c r="F161" s="32"/>
      <c r="G161" s="32"/>
      <c r="H161" s="32"/>
      <c r="I161" s="32"/>
      <c r="J161" s="32"/>
      <c r="K161" s="32"/>
      <c r="L161" s="32"/>
    </row>
    <row r="162" spans="1:12" s="35" customFormat="1">
      <c r="A162" s="47"/>
      <c r="F162" s="32"/>
      <c r="G162" s="32"/>
      <c r="H162" s="32"/>
      <c r="I162" s="32"/>
      <c r="J162" s="32"/>
      <c r="K162" s="32"/>
      <c r="L162" s="32"/>
    </row>
    <row r="163" spans="1:12" s="35" customFormat="1">
      <c r="A163" s="47"/>
      <c r="F163" s="32"/>
      <c r="G163" s="32"/>
      <c r="H163" s="32"/>
      <c r="I163" s="32"/>
      <c r="J163" s="32"/>
      <c r="K163" s="32"/>
      <c r="L163" s="32"/>
    </row>
    <row r="164" spans="1:12" s="35" customFormat="1">
      <c r="A164" s="47"/>
      <c r="F164" s="32"/>
      <c r="G164" s="32"/>
      <c r="H164" s="32"/>
      <c r="I164" s="32"/>
      <c r="J164" s="32"/>
      <c r="K164" s="32"/>
      <c r="L164" s="32"/>
    </row>
    <row r="165" spans="1:12" s="35" customFormat="1">
      <c r="A165" s="47"/>
      <c r="F165" s="32"/>
      <c r="G165" s="32"/>
      <c r="H165" s="32"/>
      <c r="I165" s="32"/>
      <c r="J165" s="32"/>
      <c r="K165" s="32"/>
      <c r="L165" s="32"/>
    </row>
    <row r="166" spans="1:12" s="35" customFormat="1">
      <c r="A166" s="47"/>
      <c r="F166" s="32"/>
      <c r="G166" s="32"/>
      <c r="H166" s="32"/>
      <c r="I166" s="32"/>
      <c r="J166" s="32"/>
      <c r="K166" s="32"/>
      <c r="L166" s="32"/>
    </row>
    <row r="167" spans="1:12" s="35" customFormat="1">
      <c r="A167" s="47"/>
      <c r="F167" s="32"/>
      <c r="G167" s="32"/>
      <c r="H167" s="32"/>
      <c r="I167" s="32"/>
      <c r="J167" s="32"/>
      <c r="K167" s="32"/>
      <c r="L167" s="32"/>
    </row>
    <row r="168" spans="1:12" s="35" customFormat="1">
      <c r="A168" s="47"/>
      <c r="F168" s="32"/>
      <c r="G168" s="32"/>
      <c r="H168" s="32"/>
      <c r="I168" s="32"/>
      <c r="J168" s="32"/>
      <c r="K168" s="32"/>
      <c r="L168" s="32"/>
    </row>
    <row r="169" spans="1:12" s="35" customFormat="1">
      <c r="A169" s="47"/>
      <c r="F169" s="32"/>
      <c r="G169" s="32"/>
      <c r="H169" s="32"/>
      <c r="I169" s="32"/>
      <c r="J169" s="32"/>
      <c r="K169" s="32"/>
      <c r="L169" s="32"/>
    </row>
    <row r="170" spans="1:12" s="35" customFormat="1">
      <c r="A170" s="47"/>
      <c r="F170" s="32"/>
      <c r="G170" s="32"/>
      <c r="H170" s="32"/>
      <c r="I170" s="32"/>
      <c r="J170" s="32"/>
      <c r="K170" s="32"/>
      <c r="L170" s="32"/>
    </row>
    <row r="171" spans="1:12" s="35" customFormat="1">
      <c r="A171" s="47"/>
      <c r="F171" s="32"/>
      <c r="G171" s="32"/>
      <c r="H171" s="32"/>
      <c r="I171" s="32"/>
      <c r="J171" s="32"/>
      <c r="K171" s="32"/>
      <c r="L171" s="32"/>
    </row>
    <row r="172" spans="1:12" s="35" customFormat="1">
      <c r="A172" s="47"/>
      <c r="F172" s="32"/>
      <c r="G172" s="32"/>
      <c r="H172" s="32"/>
      <c r="I172" s="32"/>
      <c r="J172" s="32"/>
      <c r="K172" s="32"/>
      <c r="L172" s="32"/>
    </row>
    <row r="173" spans="1:12" s="35" customFormat="1">
      <c r="A173" s="47"/>
      <c r="F173" s="32"/>
      <c r="G173" s="32"/>
      <c r="H173" s="32"/>
      <c r="I173" s="32"/>
      <c r="J173" s="32"/>
      <c r="K173" s="32"/>
      <c r="L173" s="32"/>
    </row>
    <row r="174" spans="1:12" s="35" customFormat="1">
      <c r="A174" s="47"/>
      <c r="F174" s="32"/>
      <c r="G174" s="32"/>
      <c r="H174" s="32"/>
      <c r="I174" s="32"/>
      <c r="J174" s="32"/>
      <c r="K174" s="32"/>
      <c r="L174" s="32"/>
    </row>
    <row r="175" spans="1:12" s="35" customFormat="1">
      <c r="A175" s="47"/>
      <c r="F175" s="32"/>
      <c r="G175" s="32"/>
      <c r="H175" s="32"/>
      <c r="I175" s="32"/>
      <c r="J175" s="32"/>
      <c r="K175" s="32"/>
      <c r="L175" s="32"/>
    </row>
    <row r="176" spans="1:12" s="35" customFormat="1">
      <c r="A176" s="47"/>
      <c r="F176" s="32"/>
      <c r="G176" s="32"/>
      <c r="H176" s="32"/>
      <c r="I176" s="32"/>
      <c r="J176" s="32"/>
      <c r="K176" s="32"/>
      <c r="L176" s="32"/>
    </row>
    <row r="177" spans="1:12" s="35" customFormat="1">
      <c r="A177" s="47"/>
      <c r="F177" s="32"/>
      <c r="G177" s="32"/>
      <c r="H177" s="32"/>
      <c r="I177" s="32"/>
      <c r="J177" s="32"/>
      <c r="K177" s="32"/>
      <c r="L177" s="32"/>
    </row>
    <row r="178" spans="1:12" s="35" customFormat="1">
      <c r="A178" s="47"/>
      <c r="F178" s="32"/>
      <c r="G178" s="32"/>
      <c r="H178" s="32"/>
      <c r="I178" s="32"/>
      <c r="J178" s="32"/>
      <c r="K178" s="32"/>
      <c r="L178" s="32"/>
    </row>
    <row r="179" spans="1:12" s="35" customFormat="1">
      <c r="A179" s="47"/>
      <c r="F179" s="32"/>
      <c r="G179" s="32"/>
      <c r="H179" s="32"/>
      <c r="I179" s="32"/>
      <c r="J179" s="32"/>
      <c r="K179" s="32"/>
      <c r="L179" s="32"/>
    </row>
    <row r="180" spans="1:12" s="35" customFormat="1">
      <c r="A180" s="47"/>
      <c r="F180" s="32"/>
      <c r="G180" s="32"/>
      <c r="H180" s="32"/>
      <c r="I180" s="32"/>
      <c r="J180" s="32"/>
      <c r="K180" s="32"/>
      <c r="L180" s="32"/>
    </row>
    <row r="181" spans="1:12" s="35" customFormat="1">
      <c r="A181" s="47"/>
      <c r="F181" s="32"/>
      <c r="G181" s="32"/>
      <c r="H181" s="32"/>
      <c r="I181" s="32"/>
      <c r="J181" s="32"/>
      <c r="K181" s="32"/>
      <c r="L181" s="32"/>
    </row>
    <row r="182" spans="1:12" s="35" customFormat="1">
      <c r="A182" s="47"/>
      <c r="F182" s="32"/>
      <c r="G182" s="32"/>
      <c r="H182" s="32"/>
      <c r="I182" s="32"/>
      <c r="J182" s="32"/>
      <c r="K182" s="32"/>
      <c r="L182" s="32"/>
    </row>
    <row r="183" spans="1:12" s="35" customFormat="1">
      <c r="A183" s="47"/>
      <c r="F183" s="32"/>
      <c r="G183" s="32"/>
      <c r="H183" s="32"/>
      <c r="I183" s="32"/>
      <c r="J183" s="32"/>
      <c r="K183" s="32"/>
      <c r="L183" s="32"/>
    </row>
    <row r="184" spans="1:12" s="35" customFormat="1">
      <c r="A184" s="47"/>
      <c r="F184" s="32"/>
      <c r="G184" s="32"/>
      <c r="H184" s="32"/>
      <c r="I184" s="32"/>
      <c r="J184" s="32"/>
      <c r="K184" s="32"/>
      <c r="L184" s="32"/>
    </row>
    <row r="185" spans="1:12" s="35" customFormat="1">
      <c r="A185" s="47"/>
      <c r="F185" s="32"/>
      <c r="G185" s="32"/>
      <c r="H185" s="32"/>
      <c r="I185" s="32"/>
      <c r="J185" s="32"/>
      <c r="K185" s="32"/>
      <c r="L185" s="32"/>
    </row>
    <row r="186" spans="1:12" s="35" customFormat="1">
      <c r="A186" s="47"/>
      <c r="F186" s="32"/>
      <c r="G186" s="32"/>
      <c r="H186" s="32"/>
      <c r="I186" s="32"/>
      <c r="J186" s="32"/>
      <c r="K186" s="32"/>
      <c r="L186" s="32"/>
    </row>
    <row r="187" spans="1:12" s="35" customFormat="1">
      <c r="A187" s="47"/>
      <c r="F187" s="32"/>
      <c r="G187" s="32"/>
      <c r="H187" s="32"/>
      <c r="I187" s="32"/>
      <c r="J187" s="32"/>
      <c r="K187" s="32"/>
      <c r="L187" s="32"/>
    </row>
    <row r="188" spans="1:12" s="35" customFormat="1">
      <c r="A188" s="47"/>
      <c r="F188" s="32"/>
      <c r="G188" s="32"/>
      <c r="H188" s="32"/>
      <c r="I188" s="32"/>
      <c r="J188" s="32"/>
      <c r="K188" s="32"/>
      <c r="L188" s="32"/>
    </row>
    <row r="189" spans="1:12" s="35" customFormat="1">
      <c r="A189" s="47"/>
      <c r="F189" s="32"/>
      <c r="G189" s="32"/>
      <c r="H189" s="32"/>
      <c r="I189" s="32"/>
      <c r="J189" s="32"/>
      <c r="K189" s="32"/>
      <c r="L189" s="32"/>
    </row>
  </sheetData>
  <mergeCells count="14">
    <mergeCell ref="C39:F39"/>
    <mergeCell ref="H39:J39"/>
    <mergeCell ref="A9:J9"/>
    <mergeCell ref="A19:J19"/>
    <mergeCell ref="C38:F38"/>
    <mergeCell ref="H38:J38"/>
    <mergeCell ref="A4:J4"/>
    <mergeCell ref="A6:A7"/>
    <mergeCell ref="B6:B7"/>
    <mergeCell ref="C6:C7"/>
    <mergeCell ref="F6:F7"/>
    <mergeCell ref="G6:J6"/>
    <mergeCell ref="E6:E7"/>
    <mergeCell ref="D6:D7"/>
  </mergeCells>
  <phoneticPr fontId="3" type="noConversion"/>
  <pageMargins left="0.70866141732283472" right="0.19685039370078741" top="0.19685039370078741" bottom="0.19685039370078741" header="0.19685039370078741" footer="0.11811023622047245"/>
  <pageSetup paperSize="9" scale="43" orientation="portrait" verticalDpi="300" r:id="rId1"/>
  <headerFooter alignWithMargins="0">
    <oddHeader xml:space="preserve">&amp;C&amp;"Times New Roman,обычный"&amp;14 
7&amp;R
&amp;"Times New Roman,обычный"&amp;14Продовження додатка 1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J103"/>
  <sheetViews>
    <sheetView view="pageBreakPreview" topLeftCell="A13" zoomScale="60" zoomScaleNormal="75" workbookViewId="0">
      <selection activeCell="B11" sqref="B11"/>
    </sheetView>
  </sheetViews>
  <sheetFormatPr defaultColWidth="9.140625" defaultRowHeight="18.75" outlineLevelRow="1"/>
  <cols>
    <col min="1" max="1" width="83.140625" style="2" customWidth="1"/>
    <col min="2" max="2" width="10.7109375" style="2" customWidth="1"/>
    <col min="3" max="5" width="16.28515625" style="2" customWidth="1"/>
    <col min="6" max="10" width="16" style="2" customWidth="1"/>
    <col min="11" max="16384" width="9.140625" style="2"/>
  </cols>
  <sheetData>
    <row r="3" spans="1:10">
      <c r="A3" s="403" t="s">
        <v>128</v>
      </c>
      <c r="B3" s="403"/>
      <c r="C3" s="403"/>
      <c r="D3" s="403"/>
      <c r="E3" s="403"/>
      <c r="F3" s="403"/>
      <c r="G3" s="403"/>
      <c r="H3" s="403"/>
      <c r="I3" s="403"/>
      <c r="J3" s="403"/>
    </row>
    <row r="4" spans="1:10" outlineLevel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48" customHeight="1">
      <c r="A5" s="411" t="s">
        <v>197</v>
      </c>
      <c r="B5" s="414" t="s">
        <v>0</v>
      </c>
      <c r="C5" s="414" t="s">
        <v>17</v>
      </c>
      <c r="D5" s="398" t="s">
        <v>288</v>
      </c>
      <c r="E5" s="415" t="s">
        <v>284</v>
      </c>
      <c r="F5" s="391" t="s">
        <v>9</v>
      </c>
      <c r="G5" s="391" t="s">
        <v>285</v>
      </c>
      <c r="H5" s="391"/>
      <c r="I5" s="391"/>
      <c r="J5" s="391"/>
    </row>
    <row r="6" spans="1:10" ht="38.25" customHeight="1">
      <c r="A6" s="413"/>
      <c r="B6" s="414"/>
      <c r="C6" s="414"/>
      <c r="D6" s="402"/>
      <c r="E6" s="416"/>
      <c r="F6" s="391"/>
      <c r="G6" s="15" t="s">
        <v>156</v>
      </c>
      <c r="H6" s="15" t="s">
        <v>157</v>
      </c>
      <c r="I6" s="15" t="s">
        <v>158</v>
      </c>
      <c r="J6" s="15" t="s">
        <v>61</v>
      </c>
    </row>
    <row r="7" spans="1:10" ht="18" customHeight="1">
      <c r="A7" s="7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</row>
    <row r="8" spans="1:10" s="46" customFormat="1" ht="30.75" customHeight="1">
      <c r="A8" s="412" t="s">
        <v>132</v>
      </c>
      <c r="B8" s="412"/>
      <c r="C8" s="412"/>
      <c r="D8" s="412"/>
      <c r="E8" s="412"/>
      <c r="F8" s="412"/>
      <c r="G8" s="412"/>
      <c r="H8" s="412"/>
      <c r="I8" s="412"/>
      <c r="J8" s="412"/>
    </row>
    <row r="9" spans="1:10" ht="20.100000000000001" customHeight="1">
      <c r="A9" s="33" t="s">
        <v>145</v>
      </c>
      <c r="B9" s="9">
        <v>1200</v>
      </c>
      <c r="C9" s="12">
        <f>'1.Фінансовий результат'!C143</f>
        <v>-207.61899999999878</v>
      </c>
      <c r="D9" s="12">
        <f>'1.Фінансовий результат'!D143</f>
        <v>1184.7999999999925</v>
      </c>
      <c r="E9" s="12">
        <f>'1.Фінансовий результат'!E143</f>
        <v>-4.0021319591687643E-12</v>
      </c>
      <c r="F9" s="12">
        <f>'1.Фінансовий результат'!F143</f>
        <v>-1.1642242725429242E-11</v>
      </c>
      <c r="G9" s="12">
        <f>'1.Фінансовий результат'!G143</f>
        <v>-2.2284396550276142E-12</v>
      </c>
      <c r="H9" s="12">
        <f>'1.Фінансовий результат'!H143</f>
        <v>-3.5926817076870066E-12</v>
      </c>
      <c r="I9" s="12">
        <f>'1.Фінансовий результат'!I143</f>
        <v>-3.7063685454086226E-12</v>
      </c>
      <c r="J9" s="12">
        <f>'1.Фінансовий результат'!J143</f>
        <v>1.4663825709249068E-12</v>
      </c>
    </row>
    <row r="10" spans="1:10" ht="20.100000000000001" customHeight="1">
      <c r="A10" s="33" t="s">
        <v>146</v>
      </c>
      <c r="B10" s="16"/>
      <c r="C10" s="65"/>
      <c r="D10" s="65"/>
      <c r="E10" s="65"/>
      <c r="F10" s="65"/>
      <c r="G10" s="65"/>
      <c r="H10" s="65"/>
      <c r="I10" s="65"/>
      <c r="J10" s="65"/>
    </row>
    <row r="11" spans="1:10" s="122" customFormat="1" ht="19.7" customHeight="1">
      <c r="A11" s="294" t="s">
        <v>148</v>
      </c>
      <c r="B11" s="281">
        <v>3000</v>
      </c>
      <c r="C11" s="112"/>
      <c r="D11" s="112"/>
      <c r="E11" s="112"/>
      <c r="F11" s="112"/>
      <c r="G11" s="112"/>
      <c r="H11" s="112"/>
      <c r="I11" s="112"/>
      <c r="J11" s="112"/>
    </row>
    <row r="12" spans="1:10" ht="20.100000000000001" customHeight="1">
      <c r="A12" s="33" t="s">
        <v>149</v>
      </c>
      <c r="B12" s="6">
        <v>3010</v>
      </c>
      <c r="C12" s="12"/>
      <c r="D12" s="12"/>
      <c r="E12" s="12"/>
      <c r="F12" s="12"/>
      <c r="G12" s="12"/>
      <c r="H12" s="12"/>
      <c r="I12" s="12"/>
      <c r="J12" s="12"/>
    </row>
    <row r="13" spans="1:10" ht="20.100000000000001" customHeight="1">
      <c r="A13" s="33" t="s">
        <v>150</v>
      </c>
      <c r="B13" s="6">
        <v>3020</v>
      </c>
      <c r="C13" s="12"/>
      <c r="D13" s="12"/>
      <c r="E13" s="12"/>
      <c r="F13" s="12"/>
      <c r="G13" s="12"/>
      <c r="H13" s="12"/>
      <c r="I13" s="12"/>
      <c r="J13" s="12"/>
    </row>
    <row r="14" spans="1:10" ht="42.75" customHeight="1">
      <c r="A14" s="33" t="s">
        <v>151</v>
      </c>
      <c r="B14" s="6">
        <v>3030</v>
      </c>
      <c r="C14" s="12"/>
      <c r="D14" s="12"/>
      <c r="E14" s="12"/>
      <c r="F14" s="12"/>
      <c r="G14" s="12"/>
      <c r="H14" s="12"/>
      <c r="I14" s="12"/>
      <c r="J14" s="12"/>
    </row>
    <row r="15" spans="1:10" ht="42.75" customHeight="1">
      <c r="A15" s="45" t="s">
        <v>188</v>
      </c>
      <c r="B15" s="6">
        <v>3040</v>
      </c>
      <c r="C15" s="12"/>
      <c r="D15" s="12"/>
      <c r="E15" s="12"/>
      <c r="F15" s="12"/>
      <c r="G15" s="12"/>
      <c r="H15" s="12"/>
      <c r="I15" s="12"/>
      <c r="J15" s="12"/>
    </row>
    <row r="16" spans="1:10" ht="20.100000000000001" customHeight="1">
      <c r="A16" s="33" t="s">
        <v>152</v>
      </c>
      <c r="B16" s="6">
        <v>3050</v>
      </c>
      <c r="C16" s="12"/>
      <c r="D16" s="12"/>
      <c r="E16" s="12"/>
      <c r="F16" s="12"/>
      <c r="G16" s="12"/>
      <c r="H16" s="12"/>
      <c r="I16" s="12"/>
      <c r="J16" s="12"/>
    </row>
    <row r="17" spans="1:10" ht="20.100000000000001" customHeight="1">
      <c r="A17" s="33" t="s">
        <v>153</v>
      </c>
      <c r="B17" s="6">
        <v>3060</v>
      </c>
      <c r="C17" s="12"/>
      <c r="D17" s="12"/>
      <c r="E17" s="12"/>
      <c r="F17" s="12"/>
      <c r="G17" s="12"/>
      <c r="H17" s="12"/>
      <c r="I17" s="12"/>
      <c r="J17" s="12"/>
    </row>
    <row r="18" spans="1:10" ht="20.100000000000001" customHeight="1">
      <c r="A18" s="45" t="s">
        <v>291</v>
      </c>
      <c r="B18" s="6">
        <v>3070</v>
      </c>
      <c r="C18" s="12"/>
      <c r="D18" s="12"/>
      <c r="E18" s="12"/>
      <c r="F18" s="12"/>
      <c r="G18" s="12"/>
      <c r="H18" s="12"/>
      <c r="I18" s="12"/>
      <c r="J18" s="12"/>
    </row>
    <row r="19" spans="1:10" ht="20.100000000000001" customHeight="1">
      <c r="A19" s="33" t="s">
        <v>147</v>
      </c>
      <c r="B19" s="6">
        <v>3080</v>
      </c>
      <c r="C19" s="12"/>
      <c r="D19" s="12"/>
      <c r="E19" s="12"/>
      <c r="F19" s="12"/>
      <c r="G19" s="12"/>
      <c r="H19" s="12"/>
      <c r="I19" s="12"/>
      <c r="J19" s="12"/>
    </row>
    <row r="20" spans="1:10" ht="20.100000000000001" customHeight="1">
      <c r="A20" s="10" t="s">
        <v>131</v>
      </c>
      <c r="B20" s="6">
        <v>3090</v>
      </c>
      <c r="C20" s="12"/>
      <c r="D20" s="12"/>
      <c r="E20" s="12"/>
      <c r="F20" s="12"/>
      <c r="G20" s="12"/>
      <c r="H20" s="12"/>
      <c r="I20" s="12"/>
      <c r="J20" s="12"/>
    </row>
    <row r="21" spans="1:10" ht="25.7" customHeight="1">
      <c r="A21" s="412" t="s">
        <v>133</v>
      </c>
      <c r="B21" s="412"/>
      <c r="C21" s="412"/>
      <c r="D21" s="412"/>
      <c r="E21" s="412"/>
      <c r="F21" s="412"/>
      <c r="G21" s="412"/>
      <c r="H21" s="412"/>
      <c r="I21" s="412"/>
      <c r="J21" s="412"/>
    </row>
    <row r="22" spans="1:10" ht="20.100000000000001" customHeight="1">
      <c r="A22" s="45" t="s">
        <v>201</v>
      </c>
      <c r="B22" s="9"/>
      <c r="C22" s="12"/>
      <c r="D22" s="12"/>
      <c r="E22" s="12"/>
      <c r="F22" s="12"/>
      <c r="G22" s="12"/>
      <c r="H22" s="12"/>
      <c r="I22" s="12"/>
      <c r="J22" s="12"/>
    </row>
    <row r="23" spans="1:10" ht="20.100000000000001" customHeight="1">
      <c r="A23" s="8" t="s">
        <v>18</v>
      </c>
      <c r="B23" s="9">
        <v>3200</v>
      </c>
      <c r="C23" s="93"/>
      <c r="D23" s="93"/>
      <c r="E23" s="93"/>
      <c r="F23" s="93"/>
      <c r="G23" s="93"/>
      <c r="H23" s="93"/>
      <c r="I23" s="93"/>
      <c r="J23" s="93"/>
    </row>
    <row r="24" spans="1:10" ht="20.100000000000001" customHeight="1">
      <c r="A24" s="8" t="s">
        <v>19</v>
      </c>
      <c r="B24" s="9">
        <v>3210</v>
      </c>
      <c r="C24" s="93"/>
      <c r="D24" s="93"/>
      <c r="E24" s="93"/>
      <c r="F24" s="93"/>
      <c r="G24" s="93"/>
      <c r="H24" s="93"/>
      <c r="I24" s="93"/>
      <c r="J24" s="93"/>
    </row>
    <row r="25" spans="1:10" ht="20.100000000000001" customHeight="1">
      <c r="A25" s="8" t="s">
        <v>41</v>
      </c>
      <c r="B25" s="9">
        <v>3220</v>
      </c>
      <c r="C25" s="93"/>
      <c r="D25" s="93"/>
      <c r="E25" s="93"/>
      <c r="F25" s="93"/>
      <c r="G25" s="93"/>
      <c r="H25" s="93"/>
      <c r="I25" s="93"/>
      <c r="J25" s="93"/>
    </row>
    <row r="26" spans="1:10" ht="20.100000000000001" customHeight="1">
      <c r="A26" s="33" t="s">
        <v>137</v>
      </c>
      <c r="B26" s="9"/>
      <c r="C26" s="12"/>
      <c r="D26" s="12"/>
      <c r="E26" s="12"/>
      <c r="F26" s="12"/>
      <c r="G26" s="12"/>
      <c r="H26" s="12"/>
      <c r="I26" s="12"/>
      <c r="J26" s="12"/>
    </row>
    <row r="27" spans="1:10" ht="20.100000000000001" customHeight="1">
      <c r="A27" s="8" t="s">
        <v>138</v>
      </c>
      <c r="B27" s="9">
        <v>3230</v>
      </c>
      <c r="C27" s="93"/>
      <c r="D27" s="93"/>
      <c r="E27" s="93"/>
      <c r="F27" s="93"/>
      <c r="G27" s="93"/>
      <c r="H27" s="93"/>
      <c r="I27" s="93"/>
      <c r="J27" s="93"/>
    </row>
    <row r="28" spans="1:10" ht="20.100000000000001" customHeight="1">
      <c r="A28" s="8" t="s">
        <v>139</v>
      </c>
      <c r="B28" s="9">
        <v>3240</v>
      </c>
      <c r="C28" s="93"/>
      <c r="D28" s="93"/>
      <c r="E28" s="93"/>
      <c r="F28" s="93"/>
      <c r="G28" s="93"/>
      <c r="H28" s="93"/>
      <c r="I28" s="93"/>
      <c r="J28" s="93"/>
    </row>
    <row r="29" spans="1:10" ht="20.100000000000001" customHeight="1">
      <c r="A29" s="33" t="s">
        <v>140</v>
      </c>
      <c r="B29" s="9">
        <v>3250</v>
      </c>
      <c r="C29" s="93"/>
      <c r="D29" s="93"/>
      <c r="E29" s="93"/>
      <c r="F29" s="93"/>
      <c r="G29" s="93"/>
      <c r="H29" s="93"/>
      <c r="I29" s="93"/>
      <c r="J29" s="93"/>
    </row>
    <row r="30" spans="1:10" ht="20.100000000000001" customHeight="1">
      <c r="A30" s="8" t="s">
        <v>103</v>
      </c>
      <c r="B30" s="9">
        <v>3260</v>
      </c>
      <c r="C30" s="93">
        <f>'4. Кап. інвестиції'!C9</f>
        <v>2125.5500000000002</v>
      </c>
      <c r="D30" s="93">
        <f>'4. Кап. інвестиції'!D9</f>
        <v>0</v>
      </c>
      <c r="E30" s="93">
        <f>'4. Кап. інвестиції'!E9</f>
        <v>518.4</v>
      </c>
      <c r="F30" s="93">
        <f>'4. Кап. інвестиції'!F9</f>
        <v>4400</v>
      </c>
      <c r="G30" s="93">
        <f>'4. Кап. інвестиції'!G9</f>
        <v>0</v>
      </c>
      <c r="H30" s="93">
        <f>'4. Кап. інвестиції'!H9</f>
        <v>3000</v>
      </c>
      <c r="I30" s="93">
        <f>'4. Кап. інвестиції'!I9</f>
        <v>1400</v>
      </c>
      <c r="J30" s="93">
        <f>'4. Кап. інвестиції'!J9</f>
        <v>0</v>
      </c>
    </row>
    <row r="31" spans="1:10" ht="20.100000000000001" customHeight="1">
      <c r="A31" s="45" t="s">
        <v>203</v>
      </c>
      <c r="B31" s="9"/>
      <c r="C31" s="12"/>
      <c r="D31" s="12"/>
      <c r="E31" s="12"/>
      <c r="F31" s="12"/>
      <c r="G31" s="12"/>
      <c r="H31" s="12"/>
      <c r="I31" s="12"/>
      <c r="J31" s="12"/>
    </row>
    <row r="32" spans="1:10" ht="20.100000000000001" customHeight="1">
      <c r="A32" s="8" t="s">
        <v>104</v>
      </c>
      <c r="B32" s="9">
        <v>3270</v>
      </c>
      <c r="C32" s="93">
        <f>'4. Кап. інвестиції'!C9</f>
        <v>2125.5500000000002</v>
      </c>
      <c r="D32" s="93">
        <f>'4. Кап. інвестиції'!D9</f>
        <v>0</v>
      </c>
      <c r="E32" s="93">
        <f>'4. Кап. інвестиції'!E9</f>
        <v>518.4</v>
      </c>
      <c r="F32" s="93">
        <f>'4. Кап. інвестиції'!F9</f>
        <v>4400</v>
      </c>
      <c r="G32" s="93">
        <f>'4. Кап. інвестиції'!G9</f>
        <v>0</v>
      </c>
      <c r="H32" s="93">
        <f>'4. Кап. інвестиції'!H9</f>
        <v>3000</v>
      </c>
      <c r="I32" s="93">
        <f>'4. Кап. інвестиції'!I9</f>
        <v>1400</v>
      </c>
      <c r="J32" s="93">
        <f>'4. Кап. інвестиції'!J9</f>
        <v>0</v>
      </c>
    </row>
    <row r="33" spans="1:10" ht="20.100000000000001" customHeight="1">
      <c r="A33" s="8" t="s">
        <v>105</v>
      </c>
      <c r="B33" s="9">
        <v>3280</v>
      </c>
      <c r="C33" s="93"/>
      <c r="D33" s="93"/>
      <c r="E33" s="93"/>
      <c r="F33" s="93"/>
      <c r="G33" s="93"/>
      <c r="H33" s="93"/>
      <c r="I33" s="93"/>
      <c r="J33" s="93"/>
    </row>
    <row r="34" spans="1:10" ht="20.100000000000001" customHeight="1">
      <c r="A34" s="8" t="s">
        <v>106</v>
      </c>
      <c r="B34" s="9">
        <v>3290</v>
      </c>
      <c r="C34" s="93"/>
      <c r="D34" s="93"/>
      <c r="E34" s="93"/>
      <c r="F34" s="93"/>
      <c r="G34" s="93"/>
      <c r="H34" s="93"/>
      <c r="I34" s="93"/>
      <c r="J34" s="93"/>
    </row>
    <row r="35" spans="1:10" ht="20.100000000000001" customHeight="1">
      <c r="A35" s="8" t="s">
        <v>42</v>
      </c>
      <c r="B35" s="9">
        <v>3300</v>
      </c>
      <c r="C35" s="99"/>
      <c r="D35" s="99"/>
      <c r="E35" s="99"/>
      <c r="F35" s="93"/>
      <c r="G35" s="93"/>
      <c r="H35" s="93"/>
      <c r="I35" s="93"/>
      <c r="J35" s="93"/>
    </row>
    <row r="36" spans="1:10" ht="20.100000000000001" customHeight="1">
      <c r="A36" s="8" t="s">
        <v>99</v>
      </c>
      <c r="B36" s="9">
        <v>3310</v>
      </c>
      <c r="C36" s="93"/>
      <c r="D36" s="93"/>
      <c r="E36" s="93"/>
      <c r="F36" s="93"/>
      <c r="G36" s="93"/>
      <c r="H36" s="93"/>
      <c r="I36" s="93"/>
      <c r="J36" s="93"/>
    </row>
    <row r="37" spans="1:10" ht="20.100000000000001" customHeight="1">
      <c r="A37" s="45" t="s">
        <v>134</v>
      </c>
      <c r="B37" s="9">
        <v>3320</v>
      </c>
      <c r="C37" s="93">
        <f>SUM(C23:C30)-SUM(C32:C36)</f>
        <v>0</v>
      </c>
      <c r="D37" s="93">
        <f t="shared" ref="D37:J37" si="0">SUM(D23:D30)-SUM(D32:D36)</f>
        <v>0</v>
      </c>
      <c r="E37" s="93">
        <f t="shared" si="0"/>
        <v>0</v>
      </c>
      <c r="F37" s="93">
        <f t="shared" si="0"/>
        <v>0</v>
      </c>
      <c r="G37" s="93">
        <f t="shared" si="0"/>
        <v>0</v>
      </c>
      <c r="H37" s="93">
        <f t="shared" si="0"/>
        <v>0</v>
      </c>
      <c r="I37" s="93">
        <f t="shared" si="0"/>
        <v>0</v>
      </c>
      <c r="J37" s="93">
        <f t="shared" si="0"/>
        <v>0</v>
      </c>
    </row>
    <row r="38" spans="1:10" ht="27" customHeight="1">
      <c r="A38" s="412" t="s">
        <v>135</v>
      </c>
      <c r="B38" s="412"/>
      <c r="C38" s="412"/>
      <c r="D38" s="412"/>
      <c r="E38" s="412"/>
      <c r="F38" s="412"/>
      <c r="G38" s="412"/>
      <c r="H38" s="412"/>
      <c r="I38" s="412"/>
      <c r="J38" s="412"/>
    </row>
    <row r="39" spans="1:10" ht="20.100000000000001" customHeight="1">
      <c r="A39" s="45" t="s">
        <v>202</v>
      </c>
      <c r="B39" s="9"/>
      <c r="C39" s="65"/>
      <c r="D39" s="65"/>
      <c r="E39" s="65"/>
      <c r="F39" s="65"/>
      <c r="G39" s="65"/>
      <c r="H39" s="65"/>
      <c r="I39" s="65"/>
      <c r="J39" s="65"/>
    </row>
    <row r="40" spans="1:10" ht="20.100000000000001" customHeight="1">
      <c r="A40" s="33" t="s">
        <v>141</v>
      </c>
      <c r="B40" s="9">
        <v>3400</v>
      </c>
      <c r="C40" s="12"/>
      <c r="D40" s="12"/>
      <c r="E40" s="12"/>
      <c r="F40" s="12"/>
      <c r="G40" s="12"/>
      <c r="H40" s="12"/>
      <c r="I40" s="12"/>
      <c r="J40" s="12"/>
    </row>
    <row r="41" spans="1:10" ht="20.100000000000001" customHeight="1">
      <c r="A41" s="8" t="s">
        <v>81</v>
      </c>
      <c r="B41" s="4"/>
      <c r="C41" s="65"/>
      <c r="D41" s="65"/>
      <c r="E41" s="65"/>
      <c r="F41" s="65"/>
      <c r="G41" s="65"/>
      <c r="H41" s="65"/>
      <c r="I41" s="65"/>
      <c r="J41" s="65"/>
    </row>
    <row r="42" spans="1:10" ht="20.100000000000001" customHeight="1">
      <c r="A42" s="8" t="s">
        <v>80</v>
      </c>
      <c r="B42" s="9">
        <v>3410</v>
      </c>
      <c r="C42" s="12"/>
      <c r="D42" s="12"/>
      <c r="E42" s="12"/>
      <c r="F42" s="12"/>
      <c r="G42" s="12"/>
      <c r="H42" s="12"/>
      <c r="I42" s="12"/>
      <c r="J42" s="12"/>
    </row>
    <row r="43" spans="1:10" ht="20.100000000000001" customHeight="1">
      <c r="A43" s="8" t="s">
        <v>85</v>
      </c>
      <c r="B43" s="6">
        <v>3420</v>
      </c>
      <c r="C43" s="12"/>
      <c r="D43" s="12"/>
      <c r="E43" s="12"/>
      <c r="F43" s="12"/>
      <c r="G43" s="12"/>
      <c r="H43" s="12"/>
      <c r="I43" s="12"/>
      <c r="J43" s="12"/>
    </row>
    <row r="44" spans="1:10" ht="20.100000000000001" customHeight="1">
      <c r="A44" s="8" t="s">
        <v>107</v>
      </c>
      <c r="B44" s="9">
        <v>3430</v>
      </c>
      <c r="C44" s="12"/>
      <c r="D44" s="12"/>
      <c r="E44" s="12"/>
      <c r="F44" s="12"/>
      <c r="G44" s="12"/>
      <c r="H44" s="12"/>
      <c r="I44" s="12"/>
      <c r="J44" s="12"/>
    </row>
    <row r="45" spans="1:10" ht="20.100000000000001" customHeight="1">
      <c r="A45" s="8" t="s">
        <v>83</v>
      </c>
      <c r="B45" s="9"/>
      <c r="C45" s="65"/>
      <c r="D45" s="65"/>
      <c r="E45" s="65"/>
      <c r="F45" s="65"/>
      <c r="G45" s="65"/>
      <c r="H45" s="65"/>
      <c r="I45" s="65"/>
      <c r="J45" s="65"/>
    </row>
    <row r="46" spans="1:10" ht="20.100000000000001" customHeight="1">
      <c r="A46" s="8" t="s">
        <v>80</v>
      </c>
      <c r="B46" s="6">
        <v>3440</v>
      </c>
      <c r="C46" s="12"/>
      <c r="D46" s="12"/>
      <c r="E46" s="12"/>
      <c r="F46" s="12"/>
      <c r="G46" s="12"/>
      <c r="H46" s="12"/>
      <c r="I46" s="12"/>
      <c r="J46" s="12"/>
    </row>
    <row r="47" spans="1:10" ht="20.100000000000001" customHeight="1">
      <c r="A47" s="8" t="s">
        <v>85</v>
      </c>
      <c r="B47" s="6">
        <v>3450</v>
      </c>
      <c r="C47" s="12"/>
      <c r="D47" s="12"/>
      <c r="E47" s="12"/>
      <c r="F47" s="12"/>
      <c r="G47" s="12"/>
      <c r="H47" s="12"/>
      <c r="I47" s="12"/>
      <c r="J47" s="12"/>
    </row>
    <row r="48" spans="1:10" ht="20.100000000000001" customHeight="1">
      <c r="A48" s="8" t="s">
        <v>107</v>
      </c>
      <c r="B48" s="6">
        <v>3460</v>
      </c>
      <c r="C48" s="12"/>
      <c r="D48" s="12"/>
      <c r="E48" s="12"/>
      <c r="F48" s="12"/>
      <c r="G48" s="12"/>
      <c r="H48" s="12"/>
      <c r="I48" s="12"/>
      <c r="J48" s="12"/>
    </row>
    <row r="49" spans="1:10" ht="20.100000000000001" customHeight="1">
      <c r="A49" s="8" t="s">
        <v>102</v>
      </c>
      <c r="B49" s="6">
        <v>3470</v>
      </c>
      <c r="C49" s="12"/>
      <c r="D49" s="12"/>
      <c r="E49" s="12"/>
      <c r="F49" s="12"/>
      <c r="G49" s="12"/>
      <c r="H49" s="12"/>
      <c r="I49" s="12"/>
      <c r="J49" s="12"/>
    </row>
    <row r="50" spans="1:10" ht="20.100000000000001" customHeight="1">
      <c r="A50" s="8" t="s">
        <v>103</v>
      </c>
      <c r="B50" s="6">
        <v>3480</v>
      </c>
      <c r="C50" s="12"/>
      <c r="D50" s="12"/>
      <c r="E50" s="12"/>
      <c r="F50" s="12"/>
      <c r="G50" s="12"/>
      <c r="H50" s="12"/>
      <c r="I50" s="12"/>
      <c r="J50" s="12"/>
    </row>
    <row r="51" spans="1:10" ht="20.100000000000001" customHeight="1">
      <c r="A51" s="45" t="s">
        <v>203</v>
      </c>
      <c r="B51" s="9"/>
      <c r="C51" s="65"/>
      <c r="D51" s="65"/>
      <c r="E51" s="65"/>
      <c r="F51" s="65"/>
      <c r="G51" s="65"/>
      <c r="H51" s="65"/>
      <c r="I51" s="65"/>
      <c r="J51" s="65"/>
    </row>
    <row r="52" spans="1:10" ht="39.75" customHeight="1">
      <c r="A52" s="8" t="s">
        <v>212</v>
      </c>
      <c r="B52" s="9">
        <v>3490</v>
      </c>
      <c r="C52" s="12"/>
      <c r="D52" s="12"/>
      <c r="E52" s="12"/>
      <c r="F52" s="12"/>
      <c r="G52" s="12"/>
      <c r="H52" s="12"/>
      <c r="I52" s="12"/>
      <c r="J52" s="12"/>
    </row>
    <row r="53" spans="1:10" ht="20.100000000000001" customHeight="1">
      <c r="A53" s="8" t="s">
        <v>213</v>
      </c>
      <c r="B53" s="9">
        <v>3500</v>
      </c>
      <c r="C53" s="12"/>
      <c r="D53" s="12"/>
      <c r="E53" s="12"/>
      <c r="F53" s="12"/>
      <c r="G53" s="12"/>
      <c r="H53" s="12"/>
      <c r="I53" s="12"/>
      <c r="J53" s="12"/>
    </row>
    <row r="54" spans="1:10" ht="20.100000000000001" customHeight="1">
      <c r="A54" s="8" t="s">
        <v>84</v>
      </c>
      <c r="B54" s="9"/>
      <c r="C54" s="65"/>
      <c r="D54" s="65"/>
      <c r="E54" s="65"/>
      <c r="F54" s="65"/>
      <c r="G54" s="65"/>
      <c r="H54" s="65"/>
      <c r="I54" s="65"/>
      <c r="J54" s="65"/>
    </row>
    <row r="55" spans="1:10" ht="20.100000000000001" customHeight="1">
      <c r="A55" s="8" t="s">
        <v>80</v>
      </c>
      <c r="B55" s="6">
        <v>3510</v>
      </c>
      <c r="C55" s="12"/>
      <c r="D55" s="12"/>
      <c r="E55" s="12"/>
      <c r="F55" s="12"/>
      <c r="G55" s="12"/>
      <c r="H55" s="12"/>
      <c r="I55" s="12"/>
      <c r="J55" s="12"/>
    </row>
    <row r="56" spans="1:10" ht="20.100000000000001" customHeight="1">
      <c r="A56" s="8" t="s">
        <v>85</v>
      </c>
      <c r="B56" s="6">
        <v>3520</v>
      </c>
      <c r="C56" s="12"/>
      <c r="D56" s="12"/>
      <c r="E56" s="12"/>
      <c r="F56" s="12"/>
      <c r="G56" s="12"/>
      <c r="H56" s="12"/>
      <c r="I56" s="12"/>
      <c r="J56" s="12"/>
    </row>
    <row r="57" spans="1:10" ht="20.100000000000001" customHeight="1">
      <c r="A57" s="8" t="s">
        <v>107</v>
      </c>
      <c r="B57" s="6">
        <v>3530</v>
      </c>
      <c r="C57" s="12"/>
      <c r="D57" s="12"/>
      <c r="E57" s="12"/>
      <c r="F57" s="12"/>
      <c r="G57" s="12"/>
      <c r="H57" s="12"/>
      <c r="I57" s="12"/>
      <c r="J57" s="12"/>
    </row>
    <row r="58" spans="1:10" ht="20.100000000000001" customHeight="1">
      <c r="A58" s="8" t="s">
        <v>82</v>
      </c>
      <c r="B58" s="9"/>
      <c r="C58" s="65"/>
      <c r="D58" s="65"/>
      <c r="E58" s="65"/>
      <c r="F58" s="65"/>
      <c r="G58" s="65"/>
      <c r="H58" s="65"/>
      <c r="I58" s="65"/>
      <c r="J58" s="65"/>
    </row>
    <row r="59" spans="1:10" ht="20.100000000000001" customHeight="1">
      <c r="A59" s="8" t="s">
        <v>80</v>
      </c>
      <c r="B59" s="6">
        <v>3540</v>
      </c>
      <c r="C59" s="12"/>
      <c r="D59" s="12"/>
      <c r="E59" s="12"/>
      <c r="F59" s="12"/>
      <c r="G59" s="12"/>
      <c r="H59" s="12"/>
      <c r="I59" s="12"/>
      <c r="J59" s="12"/>
    </row>
    <row r="60" spans="1:10" ht="20.100000000000001" customHeight="1">
      <c r="A60" s="8" t="s">
        <v>85</v>
      </c>
      <c r="B60" s="6">
        <v>3550</v>
      </c>
      <c r="C60" s="12"/>
      <c r="D60" s="12"/>
      <c r="E60" s="12"/>
      <c r="F60" s="12"/>
      <c r="G60" s="12"/>
      <c r="H60" s="12"/>
      <c r="I60" s="12"/>
      <c r="J60" s="12"/>
    </row>
    <row r="61" spans="1:10" ht="20.100000000000001" customHeight="1">
      <c r="A61" s="8" t="s">
        <v>107</v>
      </c>
      <c r="B61" s="6">
        <v>3560</v>
      </c>
      <c r="C61" s="12"/>
      <c r="D61" s="12"/>
      <c r="E61" s="12"/>
      <c r="F61" s="12"/>
      <c r="G61" s="12"/>
      <c r="H61" s="12"/>
      <c r="I61" s="12"/>
      <c r="J61" s="12"/>
    </row>
    <row r="62" spans="1:10" ht="20.100000000000001" customHeight="1">
      <c r="A62" s="8" t="s">
        <v>99</v>
      </c>
      <c r="B62" s="6">
        <v>3570</v>
      </c>
      <c r="C62" s="12"/>
      <c r="D62" s="12"/>
      <c r="E62" s="12"/>
      <c r="F62" s="12"/>
      <c r="G62" s="12"/>
      <c r="H62" s="12"/>
      <c r="I62" s="12"/>
      <c r="J62" s="12"/>
    </row>
    <row r="63" spans="1:10" ht="20.100000000000001" customHeight="1">
      <c r="A63" s="45" t="s">
        <v>136</v>
      </c>
      <c r="B63" s="6">
        <v>3580</v>
      </c>
      <c r="C63" s="12">
        <f>(C40+C42+C43+C44+C46+C47+C48+C49+C50)-(C52+C53+C55+C56+C57+C59+C60+C61+C62)</f>
        <v>0</v>
      </c>
      <c r="D63" s="12">
        <f t="shared" ref="D63:J63" si="1">(D40+D42+D43+D44+D46+D47+D48+D49+D50)-(D52+D53+D55+D56+D57+D59+D60+D61+D62)</f>
        <v>0</v>
      </c>
      <c r="E63" s="12">
        <f t="shared" si="1"/>
        <v>0</v>
      </c>
      <c r="F63" s="12">
        <f t="shared" si="1"/>
        <v>0</v>
      </c>
      <c r="G63" s="12">
        <f t="shared" si="1"/>
        <v>0</v>
      </c>
      <c r="H63" s="12">
        <f t="shared" si="1"/>
        <v>0</v>
      </c>
      <c r="I63" s="12">
        <f t="shared" si="1"/>
        <v>0</v>
      </c>
      <c r="J63" s="12">
        <f t="shared" si="1"/>
        <v>0</v>
      </c>
    </row>
    <row r="64" spans="1:10" s="17" customFormat="1" ht="20.100000000000001" customHeight="1">
      <c r="A64" s="8" t="s">
        <v>20</v>
      </c>
      <c r="B64" s="6"/>
      <c r="C64" s="65"/>
      <c r="D64" s="65"/>
      <c r="E64" s="65"/>
      <c r="F64" s="65"/>
      <c r="G64" s="65"/>
      <c r="H64" s="65"/>
      <c r="I64" s="65"/>
      <c r="J64" s="65"/>
    </row>
    <row r="65" spans="1:10" s="17" customFormat="1" ht="20.100000000000001" customHeight="1">
      <c r="A65" s="10" t="s">
        <v>21</v>
      </c>
      <c r="B65" s="71">
        <v>3600</v>
      </c>
      <c r="C65" s="90"/>
      <c r="D65" s="90"/>
      <c r="E65" s="90"/>
      <c r="F65" s="90"/>
      <c r="G65" s="90"/>
      <c r="H65" s="90"/>
      <c r="I65" s="90"/>
      <c r="J65" s="90"/>
    </row>
    <row r="66" spans="1:10" s="17" customFormat="1" ht="20.100000000000001" customHeight="1">
      <c r="A66" s="56" t="s">
        <v>142</v>
      </c>
      <c r="B66" s="6">
        <v>3610</v>
      </c>
      <c r="C66" s="90"/>
      <c r="D66" s="66"/>
      <c r="E66" s="66"/>
      <c r="F66" s="66"/>
      <c r="G66" s="66"/>
      <c r="H66" s="66"/>
      <c r="I66" s="66"/>
      <c r="J66" s="66"/>
    </row>
    <row r="67" spans="1:10" s="17" customFormat="1" ht="20.100000000000001" customHeight="1">
      <c r="A67" s="10" t="s">
        <v>43</v>
      </c>
      <c r="B67" s="71">
        <v>3620</v>
      </c>
      <c r="C67" s="90">
        <f>C68+C65+C66</f>
        <v>0</v>
      </c>
      <c r="D67" s="90">
        <f t="shared" ref="D67:J67" si="2">D68+D65+D66</f>
        <v>0</v>
      </c>
      <c r="E67" s="90">
        <f t="shared" si="2"/>
        <v>0</v>
      </c>
      <c r="F67" s="90">
        <f t="shared" si="2"/>
        <v>0</v>
      </c>
      <c r="G67" s="90">
        <f t="shared" si="2"/>
        <v>0</v>
      </c>
      <c r="H67" s="90">
        <f t="shared" si="2"/>
        <v>0</v>
      </c>
      <c r="I67" s="90">
        <f t="shared" si="2"/>
        <v>0</v>
      </c>
      <c r="J67" s="90">
        <f t="shared" si="2"/>
        <v>0</v>
      </c>
    </row>
    <row r="68" spans="1:10" s="17" customFormat="1" ht="24" customHeight="1">
      <c r="A68" s="10" t="s">
        <v>22</v>
      </c>
      <c r="B68" s="71">
        <v>3630</v>
      </c>
      <c r="C68" s="90">
        <f>C20+C37+C63</f>
        <v>0</v>
      </c>
      <c r="D68" s="90">
        <f t="shared" ref="D68:J68" si="3">D20+D37+D63</f>
        <v>0</v>
      </c>
      <c r="E68" s="90">
        <f t="shared" si="3"/>
        <v>0</v>
      </c>
      <c r="F68" s="90">
        <f t="shared" si="3"/>
        <v>0</v>
      </c>
      <c r="G68" s="90">
        <f t="shared" si="3"/>
        <v>0</v>
      </c>
      <c r="H68" s="90">
        <f t="shared" si="3"/>
        <v>0</v>
      </c>
      <c r="I68" s="90">
        <f t="shared" si="3"/>
        <v>0</v>
      </c>
      <c r="J68" s="90">
        <f t="shared" si="3"/>
        <v>0</v>
      </c>
    </row>
    <row r="69" spans="1:10" s="17" customFormat="1" ht="20.100000000000001" customHeight="1">
      <c r="A69" s="2"/>
      <c r="B69" s="26"/>
      <c r="C69" s="28"/>
      <c r="D69" s="28"/>
      <c r="E69" s="28"/>
      <c r="F69" s="18"/>
      <c r="G69" s="27"/>
      <c r="H69" s="27"/>
      <c r="I69" s="27"/>
      <c r="J69" s="27"/>
    </row>
    <row r="70" spans="1:10" s="17" customFormat="1" ht="20.100000000000001" customHeight="1">
      <c r="A70" s="2"/>
      <c r="B70" s="26"/>
      <c r="C70" s="28"/>
      <c r="D70" s="28"/>
      <c r="E70" s="28"/>
      <c r="F70" s="18"/>
      <c r="G70" s="27"/>
      <c r="H70" s="27"/>
      <c r="I70" s="27"/>
      <c r="J70" s="27"/>
    </row>
    <row r="71" spans="1:10" s="3" customFormat="1" ht="20.100000000000001" customHeight="1">
      <c r="A71" s="44" t="s">
        <v>412</v>
      </c>
      <c r="B71" s="1"/>
      <c r="C71" s="392" t="s">
        <v>191</v>
      </c>
      <c r="D71" s="392"/>
      <c r="E71" s="392"/>
      <c r="F71" s="392"/>
      <c r="G71" s="14"/>
      <c r="H71" s="393" t="s">
        <v>413</v>
      </c>
      <c r="I71" s="393"/>
      <c r="J71" s="393"/>
    </row>
    <row r="72" spans="1:10" ht="20.100000000000001" customHeight="1">
      <c r="A72" s="51" t="s">
        <v>353</v>
      </c>
      <c r="B72" s="3"/>
      <c r="C72" s="388" t="s">
        <v>228</v>
      </c>
      <c r="D72" s="388"/>
      <c r="E72" s="388"/>
      <c r="F72" s="388"/>
      <c r="G72" s="23"/>
      <c r="H72" s="389" t="s">
        <v>89</v>
      </c>
      <c r="I72" s="389"/>
      <c r="J72" s="389"/>
    </row>
    <row r="73" spans="1:10">
      <c r="C73" s="4"/>
      <c r="D73" s="4"/>
      <c r="E73" s="4"/>
    </row>
    <row r="74" spans="1:10">
      <c r="C74" s="4"/>
      <c r="D74" s="4"/>
      <c r="E74" s="4"/>
    </row>
    <row r="75" spans="1:10">
      <c r="C75" s="4"/>
      <c r="D75" s="4"/>
      <c r="E75" s="4"/>
    </row>
    <row r="76" spans="1:10">
      <c r="C76" s="4"/>
      <c r="D76" s="4"/>
      <c r="E76" s="4"/>
    </row>
    <row r="77" spans="1:10">
      <c r="C77" s="4"/>
      <c r="D77" s="4"/>
      <c r="E77" s="4"/>
    </row>
    <row r="78" spans="1:10">
      <c r="C78" s="4"/>
      <c r="D78" s="4"/>
      <c r="E78" s="4"/>
    </row>
    <row r="79" spans="1:10">
      <c r="C79" s="4"/>
      <c r="D79" s="4"/>
      <c r="E79" s="4"/>
    </row>
    <row r="80" spans="1:10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</sheetData>
  <mergeCells count="15">
    <mergeCell ref="C72:F72"/>
    <mergeCell ref="H72:J72"/>
    <mergeCell ref="A21:J21"/>
    <mergeCell ref="A8:J8"/>
    <mergeCell ref="A38:J38"/>
    <mergeCell ref="C71:F71"/>
    <mergeCell ref="H71:J71"/>
    <mergeCell ref="A3:J3"/>
    <mergeCell ref="A5:A6"/>
    <mergeCell ref="B5:B6"/>
    <mergeCell ref="C5:C6"/>
    <mergeCell ref="F5:F6"/>
    <mergeCell ref="G5:J5"/>
    <mergeCell ref="E5:E6"/>
    <mergeCell ref="D5:D6"/>
  </mergeCells>
  <phoneticPr fontId="3" type="noConversion"/>
  <pageMargins left="0.11811023622047245" right="0" top="0.98425196850393704" bottom="0.78740157480314965" header="0.19685039370078741" footer="0.23622047244094491"/>
  <pageSetup paperSize="9" scale="46" fitToHeight="0" orientation="portrait" r:id="rId1"/>
  <headerFooter alignWithMargins="0">
    <oddHeader xml:space="preserve">&amp;C&amp;"Times New Roman,обычный"&amp;14 
9&amp;R&amp;"Times New Roman,обычный"&amp;14
Продовження додатка 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4:Q186"/>
  <sheetViews>
    <sheetView topLeftCell="A4" zoomScale="80" zoomScaleNormal="80" zoomScaleSheetLayoutView="50" workbookViewId="0">
      <selection activeCell="H11" sqref="H11:I11"/>
    </sheetView>
  </sheetViews>
  <sheetFormatPr defaultColWidth="9.140625" defaultRowHeight="18.75"/>
  <cols>
    <col min="1" max="1" width="70.28515625" style="3" customWidth="1"/>
    <col min="2" max="2" width="10.42578125" style="21" customWidth="1"/>
    <col min="3" max="5" width="19.42578125" style="21" customWidth="1"/>
    <col min="6" max="6" width="19.42578125" style="3" customWidth="1"/>
    <col min="7" max="8" width="17.140625" style="3" customWidth="1"/>
    <col min="9" max="9" width="17" style="3" customWidth="1"/>
    <col min="10" max="10" width="17.28515625" style="3" customWidth="1"/>
    <col min="11" max="11" width="9.5703125" style="3" customWidth="1"/>
    <col min="12" max="12" width="9.85546875" style="3" customWidth="1"/>
    <col min="13" max="16384" width="9.140625" style="3"/>
  </cols>
  <sheetData>
    <row r="4" spans="1:17">
      <c r="A4" s="403" t="s">
        <v>176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1:17">
      <c r="A5" s="393"/>
      <c r="B5" s="393"/>
      <c r="C5" s="393"/>
      <c r="D5" s="393"/>
      <c r="E5" s="393"/>
      <c r="F5" s="393"/>
      <c r="G5" s="393"/>
      <c r="H5" s="393"/>
      <c r="I5" s="393"/>
      <c r="J5" s="393"/>
    </row>
    <row r="6" spans="1:17" ht="43.5" customHeight="1">
      <c r="A6" s="390" t="s">
        <v>197</v>
      </c>
      <c r="B6" s="391" t="s">
        <v>7</v>
      </c>
      <c r="C6" s="391" t="s">
        <v>17</v>
      </c>
      <c r="D6" s="398" t="s">
        <v>288</v>
      </c>
      <c r="E6" s="415" t="s">
        <v>284</v>
      </c>
      <c r="F6" s="391" t="s">
        <v>9</v>
      </c>
      <c r="G6" s="391" t="s">
        <v>285</v>
      </c>
      <c r="H6" s="391"/>
      <c r="I6" s="391"/>
      <c r="J6" s="391"/>
    </row>
    <row r="7" spans="1:17" ht="56.25" customHeight="1">
      <c r="A7" s="390"/>
      <c r="B7" s="391"/>
      <c r="C7" s="391"/>
      <c r="D7" s="402"/>
      <c r="E7" s="416"/>
      <c r="F7" s="391"/>
      <c r="G7" s="15" t="s">
        <v>156</v>
      </c>
      <c r="H7" s="15" t="s">
        <v>157</v>
      </c>
      <c r="I7" s="15" t="s">
        <v>158</v>
      </c>
      <c r="J7" s="15" t="s">
        <v>61</v>
      </c>
    </row>
    <row r="8" spans="1:17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7" s="5" customFormat="1" ht="42.75" customHeight="1">
      <c r="A9" s="85" t="s">
        <v>72</v>
      </c>
      <c r="B9" s="89">
        <v>4000</v>
      </c>
      <c r="C9" s="95">
        <f t="shared" ref="C9:I9" si="0">SUM(C10:C14)</f>
        <v>2125.5500000000002</v>
      </c>
      <c r="D9" s="95">
        <f t="shared" si="0"/>
        <v>0</v>
      </c>
      <c r="E9" s="95">
        <f t="shared" si="0"/>
        <v>518.4</v>
      </c>
      <c r="F9" s="95">
        <f t="shared" si="0"/>
        <v>4400</v>
      </c>
      <c r="G9" s="95">
        <f t="shared" si="0"/>
        <v>0</v>
      </c>
      <c r="H9" s="95">
        <f t="shared" si="0"/>
        <v>3000</v>
      </c>
      <c r="I9" s="95">
        <f t="shared" si="0"/>
        <v>1400</v>
      </c>
      <c r="J9" s="95">
        <f>SUM(J10:J14)</f>
        <v>0</v>
      </c>
    </row>
    <row r="10" spans="1:17" ht="20.100000000000001" customHeight="1">
      <c r="A10" s="8" t="s">
        <v>1</v>
      </c>
      <c r="B10" s="62" t="s">
        <v>181</v>
      </c>
      <c r="C10" s="98"/>
      <c r="D10" s="98"/>
      <c r="E10" s="98"/>
      <c r="F10" s="12">
        <f>G10+H10+I10+J10</f>
        <v>0</v>
      </c>
      <c r="G10" s="12"/>
      <c r="H10" s="12"/>
      <c r="I10" s="12"/>
      <c r="J10" s="12"/>
    </row>
    <row r="11" spans="1:17" ht="20.100000000000001" customHeight="1">
      <c r="A11" s="232" t="s">
        <v>2</v>
      </c>
      <c r="B11" s="261">
        <v>4020</v>
      </c>
      <c r="C11" s="262">
        <f>2099.425+7.968</f>
        <v>2107.393</v>
      </c>
      <c r="D11" s="262"/>
      <c r="E11" s="262">
        <v>180</v>
      </c>
      <c r="F11" s="263">
        <f>G11+H11+I11+J11</f>
        <v>4400</v>
      </c>
      <c r="G11" s="263"/>
      <c r="H11" s="263">
        <v>3000</v>
      </c>
      <c r="I11" s="263">
        <v>1400</v>
      </c>
      <c r="J11" s="263"/>
      <c r="Q11" s="19"/>
    </row>
    <row r="12" spans="1:17" ht="36.75" customHeight="1">
      <c r="A12" s="8" t="s">
        <v>16</v>
      </c>
      <c r="B12" s="62">
        <v>4030</v>
      </c>
      <c r="C12" s="98"/>
      <c r="D12" s="98"/>
      <c r="E12" s="98"/>
      <c r="F12" s="12">
        <f>G12+H12+I12+J12</f>
        <v>0</v>
      </c>
      <c r="G12" s="12"/>
      <c r="H12" s="12"/>
      <c r="I12" s="12"/>
      <c r="J12" s="12"/>
      <c r="P12" s="19"/>
    </row>
    <row r="13" spans="1:17" ht="20.100000000000001" customHeight="1">
      <c r="A13" s="8" t="s">
        <v>3</v>
      </c>
      <c r="B13" s="61">
        <v>4040</v>
      </c>
      <c r="C13" s="98"/>
      <c r="D13" s="98"/>
      <c r="E13" s="98"/>
      <c r="F13" s="12">
        <f>G13+H13+I13+J13</f>
        <v>0</v>
      </c>
      <c r="G13" s="12"/>
      <c r="H13" s="12"/>
      <c r="I13" s="12"/>
      <c r="J13" s="12"/>
    </row>
    <row r="14" spans="1:17" ht="42.75" customHeight="1">
      <c r="A14" s="8" t="s">
        <v>57</v>
      </c>
      <c r="B14" s="62">
        <v>4050</v>
      </c>
      <c r="C14" s="98">
        <f>SUM(C15:C16)</f>
        <v>18.157</v>
      </c>
      <c r="D14" s="98">
        <f t="shared" ref="D14:J14" si="1">SUM(D15:D16)</f>
        <v>0</v>
      </c>
      <c r="E14" s="98">
        <f t="shared" si="1"/>
        <v>338.4</v>
      </c>
      <c r="F14" s="98">
        <f t="shared" si="1"/>
        <v>0</v>
      </c>
      <c r="G14" s="98">
        <f t="shared" si="1"/>
        <v>0</v>
      </c>
      <c r="H14" s="98">
        <f t="shared" si="1"/>
        <v>0</v>
      </c>
      <c r="I14" s="98">
        <f t="shared" si="1"/>
        <v>0</v>
      </c>
      <c r="J14" s="98">
        <f t="shared" si="1"/>
        <v>0</v>
      </c>
    </row>
    <row r="15" spans="1:17">
      <c r="A15" s="264" t="s">
        <v>374</v>
      </c>
      <c r="B15" s="265" t="s">
        <v>318</v>
      </c>
      <c r="C15" s="265">
        <v>18.157</v>
      </c>
      <c r="D15" s="266"/>
      <c r="E15" s="266">
        <v>338.4</v>
      </c>
      <c r="F15" s="263">
        <f>G15+H15+I15+J15</f>
        <v>0</v>
      </c>
      <c r="G15" s="267"/>
      <c r="H15" s="267"/>
      <c r="I15" s="267"/>
      <c r="J15" s="267"/>
    </row>
    <row r="16" spans="1:17">
      <c r="A16" s="264" t="s">
        <v>375</v>
      </c>
      <c r="B16" s="265" t="s">
        <v>376</v>
      </c>
      <c r="C16" s="265"/>
      <c r="D16" s="266"/>
      <c r="E16" s="266"/>
      <c r="F16" s="263">
        <f>G16+H16+I16+J16</f>
        <v>0</v>
      </c>
      <c r="G16" s="267"/>
      <c r="H16" s="267"/>
      <c r="I16" s="267"/>
      <c r="J16" s="267"/>
    </row>
    <row r="17" spans="1:11" ht="20.100000000000001" customHeight="1">
      <c r="B17" s="3"/>
      <c r="C17" s="3"/>
      <c r="D17" s="3"/>
      <c r="E17" s="3"/>
      <c r="F17" s="53"/>
      <c r="G17" s="53"/>
      <c r="H17" s="53"/>
      <c r="I17" s="53"/>
      <c r="J17" s="53"/>
    </row>
    <row r="18" spans="1:11" s="2" customFormat="1" ht="20.100000000000001" customHeight="1">
      <c r="A18" s="4"/>
      <c r="C18" s="3"/>
      <c r="D18" s="3"/>
      <c r="E18" s="3"/>
      <c r="F18" s="3"/>
      <c r="G18" s="3"/>
      <c r="H18" s="3"/>
      <c r="I18" s="3"/>
      <c r="J18" s="3"/>
      <c r="K18" s="3"/>
    </row>
    <row r="19" spans="1:11" ht="20.100000000000001" customHeight="1">
      <c r="A19" s="44" t="s">
        <v>412</v>
      </c>
      <c r="B19" s="1"/>
      <c r="C19" s="392" t="s">
        <v>191</v>
      </c>
      <c r="D19" s="392"/>
      <c r="E19" s="392"/>
      <c r="F19" s="392"/>
      <c r="G19" s="14"/>
      <c r="H19" s="393" t="s">
        <v>413</v>
      </c>
      <c r="I19" s="393"/>
      <c r="J19" s="393"/>
    </row>
    <row r="20" spans="1:11" s="2" customFormat="1" ht="20.100000000000001" customHeight="1">
      <c r="A20" s="51" t="s">
        <v>353</v>
      </c>
      <c r="B20" s="3"/>
      <c r="C20" s="388" t="s">
        <v>228</v>
      </c>
      <c r="D20" s="388"/>
      <c r="E20" s="388"/>
      <c r="F20" s="388"/>
      <c r="G20" s="23"/>
      <c r="H20" s="389" t="s">
        <v>89</v>
      </c>
      <c r="I20" s="389"/>
      <c r="J20" s="389"/>
    </row>
    <row r="21" spans="1:11">
      <c r="A21" s="37"/>
    </row>
    <row r="22" spans="1:11">
      <c r="A22" s="37"/>
    </row>
    <row r="23" spans="1:11">
      <c r="A23" s="37"/>
    </row>
    <row r="24" spans="1:11">
      <c r="A24" s="37"/>
    </row>
    <row r="25" spans="1:11">
      <c r="A25" s="37"/>
    </row>
    <row r="26" spans="1:11">
      <c r="A26" s="37"/>
    </row>
    <row r="27" spans="1:11">
      <c r="A27" s="37"/>
    </row>
    <row r="28" spans="1:11">
      <c r="A28" s="37"/>
    </row>
    <row r="29" spans="1:11">
      <c r="A29" s="37"/>
    </row>
    <row r="30" spans="1:11">
      <c r="A30" s="37"/>
    </row>
    <row r="31" spans="1:11">
      <c r="A31" s="37"/>
    </row>
    <row r="32" spans="1:11">
      <c r="A32" s="37"/>
    </row>
    <row r="33" spans="1:1">
      <c r="A33" s="37"/>
    </row>
    <row r="34" spans="1:1">
      <c r="A34" s="37"/>
    </row>
    <row r="35" spans="1:1">
      <c r="A35" s="37"/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  <row r="44" spans="1:1">
      <c r="A44" s="37"/>
    </row>
    <row r="45" spans="1:1">
      <c r="A45" s="37"/>
    </row>
    <row r="46" spans="1:1">
      <c r="A46" s="37"/>
    </row>
    <row r="47" spans="1:1">
      <c r="A47" s="37"/>
    </row>
    <row r="48" spans="1:1">
      <c r="A48" s="37"/>
    </row>
    <row r="49" spans="1:1">
      <c r="A49" s="37"/>
    </row>
    <row r="50" spans="1:1">
      <c r="A50" s="37"/>
    </row>
    <row r="51" spans="1:1">
      <c r="A51" s="37"/>
    </row>
    <row r="52" spans="1:1">
      <c r="A52" s="37"/>
    </row>
    <row r="53" spans="1:1">
      <c r="A53" s="37"/>
    </row>
    <row r="54" spans="1:1">
      <c r="A54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7"/>
    </row>
    <row r="63" spans="1:1">
      <c r="A63" s="37"/>
    </row>
    <row r="64" spans="1:1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37"/>
    </row>
    <row r="78" spans="1:1">
      <c r="A78" s="37"/>
    </row>
    <row r="79" spans="1:1">
      <c r="A79" s="37"/>
    </row>
    <row r="80" spans="1:1">
      <c r="A80" s="37"/>
    </row>
    <row r="81" spans="1:1">
      <c r="A81" s="37"/>
    </row>
    <row r="82" spans="1:1">
      <c r="A82" s="37"/>
    </row>
    <row r="83" spans="1:1">
      <c r="A83" s="37"/>
    </row>
    <row r="84" spans="1:1">
      <c r="A84" s="37"/>
    </row>
    <row r="85" spans="1:1">
      <c r="A85" s="37"/>
    </row>
    <row r="86" spans="1:1">
      <c r="A86" s="37"/>
    </row>
    <row r="87" spans="1:1">
      <c r="A87" s="37"/>
    </row>
    <row r="88" spans="1:1">
      <c r="A88" s="37"/>
    </row>
    <row r="89" spans="1:1">
      <c r="A89" s="37"/>
    </row>
    <row r="90" spans="1:1">
      <c r="A90" s="37"/>
    </row>
    <row r="91" spans="1:1">
      <c r="A91" s="37"/>
    </row>
    <row r="92" spans="1:1">
      <c r="A92" s="37"/>
    </row>
    <row r="93" spans="1:1">
      <c r="A93" s="37"/>
    </row>
    <row r="94" spans="1:1">
      <c r="A94" s="37"/>
    </row>
    <row r="95" spans="1:1">
      <c r="A95" s="37"/>
    </row>
    <row r="96" spans="1:1">
      <c r="A96" s="37"/>
    </row>
    <row r="97" spans="1:1">
      <c r="A97" s="37"/>
    </row>
    <row r="98" spans="1:1">
      <c r="A98" s="37"/>
    </row>
    <row r="99" spans="1:1">
      <c r="A99" s="37"/>
    </row>
    <row r="100" spans="1:1">
      <c r="A100" s="37"/>
    </row>
    <row r="101" spans="1:1">
      <c r="A101" s="37"/>
    </row>
    <row r="102" spans="1:1">
      <c r="A102" s="37"/>
    </row>
    <row r="103" spans="1:1">
      <c r="A103" s="37"/>
    </row>
    <row r="104" spans="1:1">
      <c r="A104" s="37"/>
    </row>
    <row r="105" spans="1:1">
      <c r="A105" s="37"/>
    </row>
    <row r="106" spans="1:1">
      <c r="A106" s="37"/>
    </row>
    <row r="107" spans="1:1">
      <c r="A107" s="37"/>
    </row>
    <row r="108" spans="1:1">
      <c r="A108" s="37"/>
    </row>
    <row r="109" spans="1:1">
      <c r="A109" s="37"/>
    </row>
    <row r="110" spans="1:1">
      <c r="A110" s="37"/>
    </row>
    <row r="111" spans="1:1">
      <c r="A111" s="37"/>
    </row>
    <row r="112" spans="1:1">
      <c r="A112" s="37"/>
    </row>
    <row r="113" spans="1:1">
      <c r="A113" s="37"/>
    </row>
    <row r="114" spans="1:1">
      <c r="A114" s="37"/>
    </row>
    <row r="115" spans="1:1">
      <c r="A115" s="37"/>
    </row>
    <row r="116" spans="1:1">
      <c r="A116" s="37"/>
    </row>
    <row r="117" spans="1:1">
      <c r="A117" s="37"/>
    </row>
    <row r="118" spans="1:1">
      <c r="A118" s="37"/>
    </row>
    <row r="119" spans="1:1">
      <c r="A119" s="37"/>
    </row>
    <row r="120" spans="1:1">
      <c r="A120" s="37"/>
    </row>
    <row r="121" spans="1:1">
      <c r="A121" s="37"/>
    </row>
    <row r="122" spans="1:1">
      <c r="A122" s="37"/>
    </row>
    <row r="123" spans="1:1">
      <c r="A123" s="37"/>
    </row>
    <row r="124" spans="1:1">
      <c r="A124" s="37"/>
    </row>
    <row r="125" spans="1:1">
      <c r="A125" s="37"/>
    </row>
    <row r="126" spans="1:1">
      <c r="A126" s="37"/>
    </row>
    <row r="127" spans="1:1">
      <c r="A127" s="37"/>
    </row>
    <row r="128" spans="1:1">
      <c r="A128" s="37"/>
    </row>
    <row r="129" spans="1:1">
      <c r="A129" s="37"/>
    </row>
    <row r="130" spans="1:1">
      <c r="A130" s="37"/>
    </row>
    <row r="131" spans="1:1">
      <c r="A131" s="37"/>
    </row>
    <row r="132" spans="1:1">
      <c r="A132" s="37"/>
    </row>
    <row r="133" spans="1:1">
      <c r="A133" s="37"/>
    </row>
    <row r="134" spans="1:1">
      <c r="A134" s="37"/>
    </row>
    <row r="135" spans="1:1">
      <c r="A135" s="37"/>
    </row>
    <row r="136" spans="1:1">
      <c r="A136" s="37"/>
    </row>
    <row r="137" spans="1:1">
      <c r="A137" s="37"/>
    </row>
    <row r="138" spans="1:1">
      <c r="A138" s="37"/>
    </row>
    <row r="139" spans="1:1">
      <c r="A139" s="37"/>
    </row>
    <row r="140" spans="1:1">
      <c r="A140" s="37"/>
    </row>
    <row r="141" spans="1:1">
      <c r="A141" s="37"/>
    </row>
    <row r="142" spans="1:1">
      <c r="A142" s="37"/>
    </row>
    <row r="143" spans="1:1">
      <c r="A143" s="37"/>
    </row>
    <row r="144" spans="1:1">
      <c r="A144" s="37"/>
    </row>
    <row r="145" spans="1:1">
      <c r="A145" s="37"/>
    </row>
    <row r="146" spans="1:1">
      <c r="A146" s="37"/>
    </row>
    <row r="147" spans="1:1">
      <c r="A147" s="37"/>
    </row>
    <row r="148" spans="1:1">
      <c r="A148" s="37"/>
    </row>
    <row r="149" spans="1:1">
      <c r="A149" s="37"/>
    </row>
    <row r="150" spans="1:1">
      <c r="A150" s="37"/>
    </row>
    <row r="151" spans="1:1">
      <c r="A151" s="37"/>
    </row>
    <row r="152" spans="1:1">
      <c r="A152" s="37"/>
    </row>
    <row r="153" spans="1:1">
      <c r="A153" s="37"/>
    </row>
    <row r="154" spans="1:1">
      <c r="A154" s="37"/>
    </row>
    <row r="155" spans="1:1">
      <c r="A155" s="37"/>
    </row>
    <row r="156" spans="1:1">
      <c r="A156" s="37"/>
    </row>
    <row r="157" spans="1:1">
      <c r="A157" s="37"/>
    </row>
    <row r="158" spans="1:1">
      <c r="A158" s="37"/>
    </row>
    <row r="159" spans="1:1">
      <c r="A159" s="37"/>
    </row>
    <row r="160" spans="1:1">
      <c r="A160" s="37"/>
    </row>
    <row r="161" spans="1:1">
      <c r="A161" s="37"/>
    </row>
    <row r="162" spans="1:1">
      <c r="A162" s="37"/>
    </row>
    <row r="163" spans="1:1">
      <c r="A163" s="37"/>
    </row>
    <row r="164" spans="1:1">
      <c r="A164" s="37"/>
    </row>
    <row r="165" spans="1:1">
      <c r="A165" s="37"/>
    </row>
    <row r="166" spans="1:1">
      <c r="A166" s="37"/>
    </row>
    <row r="167" spans="1:1">
      <c r="A167" s="37"/>
    </row>
    <row r="168" spans="1:1">
      <c r="A168" s="37"/>
    </row>
    <row r="169" spans="1:1">
      <c r="A169" s="37"/>
    </row>
    <row r="170" spans="1:1">
      <c r="A170" s="37"/>
    </row>
    <row r="171" spans="1:1">
      <c r="A171" s="37"/>
    </row>
    <row r="172" spans="1:1">
      <c r="A172" s="37"/>
    </row>
    <row r="173" spans="1:1">
      <c r="A173" s="37"/>
    </row>
    <row r="174" spans="1:1">
      <c r="A174" s="37"/>
    </row>
    <row r="175" spans="1:1">
      <c r="A175" s="37"/>
    </row>
    <row r="176" spans="1:1">
      <c r="A176" s="37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  <row r="184" spans="1:1">
      <c r="A184" s="37"/>
    </row>
    <row r="185" spans="1:1">
      <c r="A185" s="37"/>
    </row>
    <row r="186" spans="1:1">
      <c r="A186" s="37"/>
    </row>
  </sheetData>
  <mergeCells count="13">
    <mergeCell ref="C19:F19"/>
    <mergeCell ref="H19:J19"/>
    <mergeCell ref="C20:F20"/>
    <mergeCell ref="H20:J20"/>
    <mergeCell ref="A6:A7"/>
    <mergeCell ref="A4:J4"/>
    <mergeCell ref="B6:B7"/>
    <mergeCell ref="C6:C7"/>
    <mergeCell ref="A5:J5"/>
    <mergeCell ref="F6:F7"/>
    <mergeCell ref="D6:D7"/>
    <mergeCell ref="E6:E7"/>
    <mergeCell ref="G6:J6"/>
  </mergeCells>
  <phoneticPr fontId="0" type="noConversion"/>
  <pageMargins left="0.70866141732283472" right="0.19685039370078741" top="0.78740157480314965" bottom="0.78740157480314965" header="0.27559055118110237" footer="0.31496062992125984"/>
  <pageSetup paperSize="9" scale="42" firstPageNumber="9" fitToHeight="0" orientation="portrait" useFirstPageNumber="1" r:id="rId1"/>
  <headerFooter alignWithMargins="0">
    <oddHeader>&amp;C&amp;"Times New Roman,обычный"&amp;14 10&amp;R&amp;"Times New Roman,обычный"&amp;14
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AG135"/>
  <sheetViews>
    <sheetView view="pageBreakPreview" topLeftCell="A127" zoomScale="75" zoomScaleNormal="75" zoomScaleSheetLayoutView="75" workbookViewId="0">
      <selection activeCell="A98" sqref="A98"/>
    </sheetView>
  </sheetViews>
  <sheetFormatPr defaultColWidth="9.140625" defaultRowHeight="18.75"/>
  <cols>
    <col min="1" max="1" width="49.28515625" style="122" customWidth="1"/>
    <col min="2" max="2" width="12" style="151" customWidth="1"/>
    <col min="3" max="3" width="13.140625" style="151" customWidth="1"/>
    <col min="4" max="4" width="15.85546875" style="151" customWidth="1"/>
    <col min="5" max="5" width="15.5703125" style="122" customWidth="1"/>
    <col min="6" max="6" width="15.140625" style="122" customWidth="1"/>
    <col min="7" max="7" width="16" style="122" customWidth="1"/>
    <col min="8" max="8" width="15.28515625" style="122" customWidth="1"/>
    <col min="9" max="9" width="15.85546875" style="122" customWidth="1"/>
    <col min="10" max="10" width="14.85546875" style="122" customWidth="1"/>
    <col min="11" max="11" width="16.140625" style="122" customWidth="1"/>
    <col min="12" max="12" width="14.5703125" style="122" customWidth="1"/>
    <col min="13" max="13" width="12.7109375" style="122" customWidth="1"/>
    <col min="14" max="14" width="9.140625" style="122" customWidth="1"/>
    <col min="15" max="15" width="15.7109375" style="122" customWidth="1"/>
    <col min="16" max="16" width="10.5703125" style="122" customWidth="1"/>
    <col min="17" max="18" width="11" style="122" bestFit="1" customWidth="1"/>
    <col min="19" max="19" width="10.7109375" style="122" customWidth="1"/>
    <col min="20" max="20" width="12.28515625" style="122" customWidth="1"/>
    <col min="21" max="21" width="9.5703125" style="122" customWidth="1"/>
    <col min="22" max="22" width="8.7109375" style="122" customWidth="1"/>
    <col min="23" max="23" width="9.28515625" style="122" customWidth="1"/>
    <col min="24" max="24" width="8" style="122" customWidth="1"/>
    <col min="25" max="25" width="12.85546875" style="122" customWidth="1"/>
    <col min="26" max="26" width="9.28515625" style="122" customWidth="1"/>
    <col min="27" max="27" width="10.42578125" style="122" customWidth="1"/>
    <col min="28" max="28" width="10.5703125" style="122" customWidth="1"/>
    <col min="29" max="29" width="9.28515625" style="122" customWidth="1"/>
    <col min="30" max="16384" width="9.140625" style="122"/>
  </cols>
  <sheetData>
    <row r="1" spans="1:15">
      <c r="A1" s="486" t="s">
        <v>108</v>
      </c>
      <c r="B1" s="486"/>
      <c r="C1" s="486"/>
      <c r="D1" s="486"/>
      <c r="E1" s="486"/>
      <c r="F1" s="486"/>
      <c r="G1" s="486"/>
      <c r="H1" s="486"/>
      <c r="I1" s="486"/>
      <c r="J1" s="310"/>
      <c r="K1" s="310"/>
      <c r="L1" s="310"/>
      <c r="M1" s="310"/>
      <c r="N1" s="310"/>
      <c r="O1" s="310"/>
    </row>
    <row r="2" spans="1:15">
      <c r="A2" s="486" t="s">
        <v>417</v>
      </c>
      <c r="B2" s="486"/>
      <c r="C2" s="486"/>
      <c r="D2" s="486"/>
      <c r="E2" s="486"/>
      <c r="F2" s="486"/>
      <c r="G2" s="486"/>
      <c r="H2" s="486"/>
      <c r="I2" s="486"/>
      <c r="J2" s="310"/>
      <c r="K2" s="310"/>
      <c r="L2" s="310"/>
      <c r="M2" s="310"/>
      <c r="N2" s="310"/>
      <c r="O2" s="310"/>
    </row>
    <row r="3" spans="1:15">
      <c r="A3" s="494" t="s">
        <v>408</v>
      </c>
      <c r="B3" s="494"/>
      <c r="C3" s="494"/>
      <c r="D3" s="494"/>
      <c r="E3" s="494"/>
      <c r="F3" s="494"/>
      <c r="G3" s="494"/>
      <c r="H3" s="494"/>
      <c r="I3" s="494"/>
      <c r="J3" s="300"/>
      <c r="K3" s="300"/>
      <c r="L3" s="300"/>
      <c r="M3" s="300"/>
      <c r="N3" s="300"/>
      <c r="O3" s="300"/>
    </row>
    <row r="4" spans="1:15" ht="20.100000000000001" customHeight="1">
      <c r="A4" s="493" t="s">
        <v>115</v>
      </c>
      <c r="B4" s="493"/>
      <c r="C4" s="493"/>
      <c r="D4" s="493"/>
      <c r="E4" s="493"/>
      <c r="F4" s="493"/>
      <c r="G4" s="493"/>
      <c r="H4" s="493"/>
      <c r="I4" s="493"/>
      <c r="J4" s="311"/>
      <c r="K4" s="311"/>
      <c r="L4" s="311"/>
      <c r="M4" s="311"/>
      <c r="N4" s="311"/>
      <c r="O4" s="311"/>
    </row>
    <row r="5" spans="1:15" ht="21.95" customHeight="1">
      <c r="A5" s="117" t="s">
        <v>79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6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8.75" customHeight="1">
      <c r="A7" s="122" t="s">
        <v>231</v>
      </c>
      <c r="B7" s="122"/>
      <c r="C7" s="122"/>
      <c r="D7" s="122"/>
    </row>
    <row r="8" spans="1:15" ht="18.7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s="120" customFormat="1" ht="69.95" customHeight="1">
      <c r="A9" s="312" t="s">
        <v>197</v>
      </c>
      <c r="B9" s="313" t="s">
        <v>17</v>
      </c>
      <c r="C9" s="313" t="s">
        <v>289</v>
      </c>
      <c r="D9" s="313" t="s">
        <v>284</v>
      </c>
      <c r="E9" s="313" t="s">
        <v>245</v>
      </c>
      <c r="F9" s="391" t="s">
        <v>286</v>
      </c>
      <c r="G9" s="391"/>
      <c r="H9" s="391" t="s">
        <v>290</v>
      </c>
      <c r="I9" s="391"/>
      <c r="J9" s="367"/>
      <c r="K9" s="77"/>
      <c r="L9" s="146"/>
      <c r="M9" s="299"/>
      <c r="N9" s="300"/>
      <c r="O9" s="300"/>
    </row>
    <row r="10" spans="1:15" s="120" customFormat="1" ht="18" customHeight="1">
      <c r="A10" s="312">
        <v>1</v>
      </c>
      <c r="B10" s="312">
        <v>2</v>
      </c>
      <c r="C10" s="312">
        <v>3</v>
      </c>
      <c r="D10" s="312">
        <v>4</v>
      </c>
      <c r="E10" s="312">
        <v>5</v>
      </c>
      <c r="F10" s="391">
        <v>6</v>
      </c>
      <c r="G10" s="391"/>
      <c r="H10" s="391">
        <v>7</v>
      </c>
      <c r="I10" s="485"/>
      <c r="J10" s="314"/>
      <c r="K10" s="314"/>
      <c r="M10" s="299"/>
      <c r="N10" s="300"/>
      <c r="O10" s="300"/>
    </row>
    <row r="11" spans="1:15" s="120" customFormat="1" ht="37.5">
      <c r="A11" s="315" t="s">
        <v>116</v>
      </c>
      <c r="B11" s="368">
        <f>B12+B13+B14+B15+B16+B17</f>
        <v>579</v>
      </c>
      <c r="C11" s="368">
        <f>C12+C13+C14+C15+C16+C17</f>
        <v>580</v>
      </c>
      <c r="D11" s="368">
        <f>D12+D13+D14+D15+D16+D17</f>
        <v>563</v>
      </c>
      <c r="E11" s="368">
        <f>E12+E13+E14+E15+E16+E17</f>
        <v>563</v>
      </c>
      <c r="F11" s="484">
        <f>E11/D11*100</f>
        <v>100</v>
      </c>
      <c r="G11" s="484"/>
      <c r="H11" s="484">
        <f>E11/B11*100</f>
        <v>97.236614853195164</v>
      </c>
      <c r="I11" s="484"/>
      <c r="J11" s="53"/>
      <c r="K11" s="314"/>
      <c r="M11" s="299"/>
      <c r="N11" s="319"/>
      <c r="O11" s="319"/>
    </row>
    <row r="12" spans="1:15" s="120" customFormat="1">
      <c r="A12" s="8" t="s">
        <v>214</v>
      </c>
      <c r="B12" s="369">
        <v>12</v>
      </c>
      <c r="C12" s="369">
        <v>12</v>
      </c>
      <c r="D12" s="369">
        <v>12</v>
      </c>
      <c r="E12" s="369">
        <v>12</v>
      </c>
      <c r="F12" s="484">
        <f t="shared" ref="F12:F33" si="0">E12/D12*100</f>
        <v>100</v>
      </c>
      <c r="G12" s="484"/>
      <c r="H12" s="484">
        <f t="shared" ref="H12:H33" si="1">E12/B12*100</f>
        <v>100</v>
      </c>
      <c r="I12" s="484"/>
      <c r="J12" s="370"/>
      <c r="K12" s="77"/>
      <c r="L12" s="299"/>
      <c r="M12" s="299"/>
      <c r="N12" s="319"/>
      <c r="O12" s="319"/>
    </row>
    <row r="13" spans="1:15" s="120" customFormat="1">
      <c r="A13" s="8" t="s">
        <v>215</v>
      </c>
      <c r="B13" s="369">
        <v>136</v>
      </c>
      <c r="C13" s="369">
        <v>138</v>
      </c>
      <c r="D13" s="369">
        <v>133</v>
      </c>
      <c r="E13" s="369">
        <v>133</v>
      </c>
      <c r="F13" s="484">
        <f t="shared" si="0"/>
        <v>100</v>
      </c>
      <c r="G13" s="484"/>
      <c r="H13" s="484">
        <f t="shared" si="1"/>
        <v>97.794117647058826</v>
      </c>
      <c r="I13" s="484"/>
      <c r="J13" s="370"/>
      <c r="K13" s="77"/>
      <c r="L13" s="299"/>
      <c r="M13" s="299"/>
      <c r="N13" s="319"/>
      <c r="O13" s="319"/>
    </row>
    <row r="14" spans="1:15" s="120" customFormat="1">
      <c r="A14" s="8" t="s">
        <v>216</v>
      </c>
      <c r="B14" s="369">
        <v>260</v>
      </c>
      <c r="C14" s="369">
        <v>260</v>
      </c>
      <c r="D14" s="369">
        <v>255</v>
      </c>
      <c r="E14" s="369">
        <v>255</v>
      </c>
      <c r="F14" s="484">
        <f t="shared" si="0"/>
        <v>100</v>
      </c>
      <c r="G14" s="484"/>
      <c r="H14" s="484">
        <f t="shared" si="1"/>
        <v>98.076923076923066</v>
      </c>
      <c r="I14" s="484"/>
      <c r="J14" s="370"/>
      <c r="K14" s="77"/>
      <c r="L14" s="299"/>
      <c r="M14" s="299"/>
      <c r="N14" s="319"/>
      <c r="O14" s="319"/>
    </row>
    <row r="15" spans="1:15" s="120" customFormat="1">
      <c r="A15" s="8" t="s">
        <v>217</v>
      </c>
      <c r="B15" s="369">
        <v>41</v>
      </c>
      <c r="C15" s="369">
        <v>41</v>
      </c>
      <c r="D15" s="369">
        <v>40</v>
      </c>
      <c r="E15" s="369">
        <v>40</v>
      </c>
      <c r="F15" s="484">
        <f t="shared" si="0"/>
        <v>100</v>
      </c>
      <c r="G15" s="484"/>
      <c r="H15" s="484">
        <f t="shared" si="1"/>
        <v>97.560975609756099</v>
      </c>
      <c r="I15" s="484"/>
      <c r="J15" s="370"/>
      <c r="K15" s="77"/>
      <c r="L15" s="299"/>
      <c r="M15" s="299"/>
      <c r="N15" s="319"/>
      <c r="O15" s="319"/>
    </row>
    <row r="16" spans="1:15" s="120" customFormat="1">
      <c r="A16" s="8" t="s">
        <v>218</v>
      </c>
      <c r="B16" s="369">
        <v>83</v>
      </c>
      <c r="C16" s="369">
        <v>82</v>
      </c>
      <c r="D16" s="369">
        <v>81</v>
      </c>
      <c r="E16" s="369">
        <v>81</v>
      </c>
      <c r="F16" s="484">
        <f t="shared" si="0"/>
        <v>100</v>
      </c>
      <c r="G16" s="484"/>
      <c r="H16" s="484">
        <f t="shared" si="1"/>
        <v>97.590361445783131</v>
      </c>
      <c r="I16" s="484"/>
      <c r="J16" s="370"/>
      <c r="K16" s="77"/>
      <c r="L16" s="299"/>
      <c r="M16" s="299"/>
      <c r="N16" s="319"/>
      <c r="O16" s="319"/>
    </row>
    <row r="17" spans="1:17" s="120" customFormat="1">
      <c r="A17" s="8" t="s">
        <v>219</v>
      </c>
      <c r="B17" s="369">
        <v>47</v>
      </c>
      <c r="C17" s="369">
        <v>47</v>
      </c>
      <c r="D17" s="369">
        <v>42</v>
      </c>
      <c r="E17" s="369">
        <v>42</v>
      </c>
      <c r="F17" s="484">
        <f t="shared" si="0"/>
        <v>100</v>
      </c>
      <c r="G17" s="484"/>
      <c r="H17" s="484">
        <f t="shared" si="1"/>
        <v>89.361702127659569</v>
      </c>
      <c r="I17" s="484"/>
      <c r="J17" s="370"/>
      <c r="K17" s="371"/>
      <c r="L17" s="320"/>
      <c r="M17" s="299"/>
      <c r="N17" s="319"/>
      <c r="O17" s="319"/>
    </row>
    <row r="18" spans="1:17" s="120" customFormat="1" ht="37.5">
      <c r="A18" s="315" t="s">
        <v>204</v>
      </c>
      <c r="B18" s="368">
        <f>B19+B20+B21</f>
        <v>26968.6</v>
      </c>
      <c r="C18" s="368">
        <f>C19+C20+C21</f>
        <v>38783.5</v>
      </c>
      <c r="D18" s="368">
        <f>D19+D20+D21</f>
        <v>39346.5</v>
      </c>
      <c r="E18" s="368">
        <f>E19+E20+E21</f>
        <v>47871.9</v>
      </c>
      <c r="F18" s="484">
        <f t="shared" si="0"/>
        <v>121.66749266135488</v>
      </c>
      <c r="G18" s="484"/>
      <c r="H18" s="484">
        <f t="shared" si="1"/>
        <v>177.50977062213093</v>
      </c>
      <c r="I18" s="484"/>
      <c r="J18" s="385"/>
      <c r="K18" s="134"/>
      <c r="L18" s="146"/>
      <c r="M18" s="299"/>
      <c r="N18" s="319"/>
      <c r="O18" s="319"/>
    </row>
    <row r="19" spans="1:17" s="120" customFormat="1">
      <c r="A19" s="8" t="s">
        <v>195</v>
      </c>
      <c r="B19" s="369">
        <v>110</v>
      </c>
      <c r="C19" s="369">
        <v>209.5</v>
      </c>
      <c r="D19" s="369">
        <v>189.6</v>
      </c>
      <c r="E19" s="369">
        <v>189.6</v>
      </c>
      <c r="F19" s="484">
        <f t="shared" si="0"/>
        <v>100</v>
      </c>
      <c r="G19" s="484"/>
      <c r="H19" s="484">
        <f t="shared" si="1"/>
        <v>172.36363636363637</v>
      </c>
      <c r="I19" s="484"/>
      <c r="J19" s="77"/>
      <c r="K19" s="372"/>
      <c r="L19" s="142"/>
      <c r="M19" s="299"/>
      <c r="N19" s="319"/>
      <c r="O19" s="319"/>
    </row>
    <row r="20" spans="1:17" s="120" customFormat="1" ht="37.5">
      <c r="A20" s="8" t="s">
        <v>206</v>
      </c>
      <c r="B20" s="369">
        <v>467.5</v>
      </c>
      <c r="C20" s="369">
        <v>581.79999999999995</v>
      </c>
      <c r="D20" s="369">
        <v>622</v>
      </c>
      <c r="E20" s="369">
        <v>846.5</v>
      </c>
      <c r="F20" s="484">
        <f t="shared" si="0"/>
        <v>136.09324758842442</v>
      </c>
      <c r="G20" s="484"/>
      <c r="H20" s="484">
        <f t="shared" si="1"/>
        <v>181.06951871657756</v>
      </c>
      <c r="I20" s="484"/>
      <c r="J20" s="77"/>
      <c r="K20" s="372"/>
      <c r="L20" s="299"/>
      <c r="M20" s="299"/>
      <c r="N20" s="319"/>
      <c r="O20" s="319"/>
    </row>
    <row r="21" spans="1:17" s="120" customFormat="1">
      <c r="A21" s="8" t="s">
        <v>196</v>
      </c>
      <c r="B21" s="369">
        <f>26391+0.1</f>
        <v>26391.1</v>
      </c>
      <c r="C21" s="369">
        <v>37992.199999999997</v>
      </c>
      <c r="D21" s="369">
        <v>38534.9</v>
      </c>
      <c r="E21" s="369">
        <v>46835.8</v>
      </c>
      <c r="F21" s="484">
        <f t="shared" si="0"/>
        <v>121.54125221552412</v>
      </c>
      <c r="G21" s="484"/>
      <c r="H21" s="484">
        <f t="shared" si="1"/>
        <v>177.46816161508997</v>
      </c>
      <c r="I21" s="484"/>
      <c r="J21" s="77"/>
      <c r="K21" s="372"/>
      <c r="L21" s="299"/>
      <c r="M21" s="299"/>
      <c r="N21" s="319"/>
      <c r="O21" s="319"/>
    </row>
    <row r="22" spans="1:17" s="120" customFormat="1" ht="37.5">
      <c r="A22" s="315" t="s">
        <v>205</v>
      </c>
      <c r="B22" s="368">
        <f>B23+B24+B25</f>
        <v>32248.199999999997</v>
      </c>
      <c r="C22" s="368">
        <f>C23+C24+C25</f>
        <v>46438.799999999996</v>
      </c>
      <c r="D22" s="368">
        <f>D23+D24+D25</f>
        <v>47103.7</v>
      </c>
      <c r="E22" s="368">
        <f>E23+E24+E25</f>
        <v>57445.8</v>
      </c>
      <c r="F22" s="484">
        <f t="shared" si="0"/>
        <v>121.95602468595888</v>
      </c>
      <c r="G22" s="484"/>
      <c r="H22" s="484">
        <f t="shared" si="1"/>
        <v>178.13645412767227</v>
      </c>
      <c r="I22" s="484"/>
      <c r="J22" s="373"/>
      <c r="K22" s="373"/>
      <c r="L22" s="299"/>
      <c r="M22" s="299"/>
      <c r="N22" s="319"/>
      <c r="O22" s="319"/>
    </row>
    <row r="23" spans="1:17" s="120" customFormat="1">
      <c r="A23" s="8" t="s">
        <v>195</v>
      </c>
      <c r="B23" s="369">
        <v>134.19999999999999</v>
      </c>
      <c r="C23" s="369">
        <v>250.4</v>
      </c>
      <c r="D23" s="369">
        <v>231.3</v>
      </c>
      <c r="E23" s="369">
        <v>231.3</v>
      </c>
      <c r="F23" s="484">
        <f t="shared" si="0"/>
        <v>100</v>
      </c>
      <c r="G23" s="484"/>
      <c r="H23" s="484">
        <f t="shared" si="1"/>
        <v>172.35469448584203</v>
      </c>
      <c r="I23" s="484"/>
      <c r="J23" s="21"/>
      <c r="K23" s="314"/>
      <c r="L23" s="299"/>
      <c r="M23" s="299"/>
      <c r="N23" s="319"/>
      <c r="O23" s="319"/>
    </row>
    <row r="24" spans="1:17" s="120" customFormat="1" ht="37.5">
      <c r="A24" s="8" t="s">
        <v>206</v>
      </c>
      <c r="B24" s="369">
        <v>570.4</v>
      </c>
      <c r="C24" s="369">
        <v>695.3</v>
      </c>
      <c r="D24" s="369">
        <v>758.8</v>
      </c>
      <c r="E24" s="369">
        <v>1032.7</v>
      </c>
      <c r="F24" s="484">
        <f t="shared" si="0"/>
        <v>136.09646810753824</v>
      </c>
      <c r="G24" s="484"/>
      <c r="H24" s="484">
        <f t="shared" si="1"/>
        <v>181.04838709677421</v>
      </c>
      <c r="I24" s="484"/>
      <c r="J24" s="77"/>
      <c r="K24" s="374"/>
      <c r="L24" s="299"/>
      <c r="M24" s="321"/>
      <c r="N24" s="319"/>
      <c r="O24" s="319"/>
    </row>
    <row r="25" spans="1:17" s="120" customFormat="1">
      <c r="A25" s="8" t="s">
        <v>196</v>
      </c>
      <c r="B25" s="369">
        <v>31543.599999999999</v>
      </c>
      <c r="C25" s="369">
        <v>45493.1</v>
      </c>
      <c r="D25" s="369">
        <v>46113.599999999999</v>
      </c>
      <c r="E25" s="369">
        <v>56181.8</v>
      </c>
      <c r="F25" s="484">
        <f t="shared" si="0"/>
        <v>121.83347212102287</v>
      </c>
      <c r="G25" s="484"/>
      <c r="H25" s="484">
        <f t="shared" si="1"/>
        <v>178.10839599792035</v>
      </c>
      <c r="I25" s="484"/>
      <c r="J25" s="373"/>
      <c r="K25" s="374"/>
      <c r="L25" s="299"/>
      <c r="M25" s="299"/>
      <c r="N25" s="319"/>
      <c r="O25" s="319"/>
    </row>
    <row r="26" spans="1:17" s="120" customFormat="1" ht="37.5">
      <c r="A26" s="315" t="s">
        <v>220</v>
      </c>
      <c r="B26" s="375">
        <f>B18/B11/10*1000</f>
        <v>4657.7892918825564</v>
      </c>
      <c r="C26" s="375">
        <f>C18/C11/12*1000</f>
        <v>5572.3419540229879</v>
      </c>
      <c r="D26" s="375">
        <f>D18/D11/12*1000</f>
        <v>5823.9342806394316</v>
      </c>
      <c r="E26" s="368">
        <v>45493.1</v>
      </c>
      <c r="F26" s="484">
        <f t="shared" si="0"/>
        <v>781.14033929320271</v>
      </c>
      <c r="G26" s="484"/>
      <c r="H26" s="484">
        <f t="shared" si="1"/>
        <v>976.71013326609466</v>
      </c>
      <c r="I26" s="484"/>
      <c r="J26" s="134"/>
      <c r="K26" s="134"/>
      <c r="L26" s="146"/>
      <c r="M26" s="299"/>
      <c r="N26" s="319"/>
      <c r="O26" s="319"/>
    </row>
    <row r="27" spans="1:17" s="120" customFormat="1">
      <c r="A27" s="8" t="s">
        <v>195</v>
      </c>
      <c r="B27" s="376">
        <f>B19/1/12*1000</f>
        <v>9166.6666666666661</v>
      </c>
      <c r="C27" s="376">
        <f>C19/1/12*1000</f>
        <v>17458.333333333332</v>
      </c>
      <c r="D27" s="376">
        <f>D19/1/12*1000</f>
        <v>15799.999999999998</v>
      </c>
      <c r="E27" s="377">
        <f>E19/1/12*1000</f>
        <v>15799.999999999998</v>
      </c>
      <c r="F27" s="484">
        <f t="shared" si="0"/>
        <v>100</v>
      </c>
      <c r="G27" s="484"/>
      <c r="H27" s="484">
        <f t="shared" si="1"/>
        <v>172.36363636363637</v>
      </c>
      <c r="I27" s="484"/>
      <c r="J27" s="77"/>
      <c r="K27" s="77"/>
      <c r="L27" s="299"/>
      <c r="M27" s="299"/>
      <c r="N27" s="319"/>
      <c r="O27" s="319"/>
    </row>
    <row r="28" spans="1:17" s="120" customFormat="1" ht="37.5">
      <c r="A28" s="8" t="s">
        <v>206</v>
      </c>
      <c r="B28" s="376">
        <f>B20/11/10*1000</f>
        <v>4250</v>
      </c>
      <c r="C28" s="376">
        <v>12121</v>
      </c>
      <c r="D28" s="376">
        <f>D20/11/12*1000</f>
        <v>4712.121212121212</v>
      </c>
      <c r="E28" s="377">
        <f>E20/11/12*1000</f>
        <v>6412.878787878788</v>
      </c>
      <c r="F28" s="484">
        <f t="shared" si="0"/>
        <v>136.09324758842445</v>
      </c>
      <c r="G28" s="484"/>
      <c r="H28" s="484">
        <f t="shared" si="1"/>
        <v>150.89126559714796</v>
      </c>
      <c r="I28" s="484"/>
      <c r="J28" s="77"/>
      <c r="K28" s="77"/>
      <c r="L28" s="299"/>
      <c r="M28" s="299"/>
      <c r="N28" s="319"/>
      <c r="O28" s="319"/>
    </row>
    <row r="29" spans="1:17" s="120" customFormat="1">
      <c r="A29" s="8" t="s">
        <v>196</v>
      </c>
      <c r="B29" s="376">
        <f>B21/551/10*1000</f>
        <v>4789.6733212341196</v>
      </c>
      <c r="C29" s="376">
        <v>5506</v>
      </c>
      <c r="D29" s="376">
        <f>D21/551/12*1000</f>
        <v>5828.0248033877806</v>
      </c>
      <c r="E29" s="377">
        <f>E21/551/12*1000</f>
        <v>7083.4543254688451</v>
      </c>
      <c r="F29" s="484">
        <f t="shared" si="0"/>
        <v>121.5412522155241</v>
      </c>
      <c r="G29" s="484"/>
      <c r="H29" s="484">
        <f t="shared" si="1"/>
        <v>147.89013467924164</v>
      </c>
      <c r="I29" s="484"/>
      <c r="J29" s="77"/>
      <c r="K29" s="77"/>
      <c r="L29" s="299"/>
      <c r="M29" s="299"/>
      <c r="N29" s="319"/>
      <c r="O29" s="319"/>
    </row>
    <row r="30" spans="1:17" s="120" customFormat="1" ht="37.5">
      <c r="A30" s="315" t="s">
        <v>221</v>
      </c>
      <c r="B30" s="368"/>
      <c r="C30" s="375">
        <f>SUM(C31:C33)</f>
        <v>0</v>
      </c>
      <c r="D30" s="375">
        <f>SUM(D31:D33)</f>
        <v>0</v>
      </c>
      <c r="E30" s="375">
        <f>SUM(E31:E33)</f>
        <v>0</v>
      </c>
      <c r="F30" s="490" t="e">
        <f t="shared" si="0"/>
        <v>#DIV/0!</v>
      </c>
      <c r="G30" s="490"/>
      <c r="H30" s="490" t="e">
        <f t="shared" si="1"/>
        <v>#DIV/0!</v>
      </c>
      <c r="I30" s="490"/>
      <c r="J30" s="77"/>
      <c r="K30" s="77"/>
      <c r="L30" s="299"/>
      <c r="M30" s="299"/>
      <c r="N30" s="319"/>
      <c r="O30" s="319"/>
      <c r="Q30" s="303"/>
    </row>
    <row r="31" spans="1:17" s="120" customFormat="1">
      <c r="A31" s="8" t="s">
        <v>195</v>
      </c>
      <c r="B31" s="378"/>
      <c r="C31" s="379"/>
      <c r="D31" s="379"/>
      <c r="E31" s="379"/>
      <c r="F31" s="490" t="e">
        <f t="shared" si="0"/>
        <v>#DIV/0!</v>
      </c>
      <c r="G31" s="490"/>
      <c r="H31" s="490" t="e">
        <f t="shared" si="1"/>
        <v>#DIV/0!</v>
      </c>
      <c r="I31" s="490"/>
      <c r="J31" s="77"/>
      <c r="K31" s="77"/>
      <c r="L31" s="299"/>
      <c r="M31" s="299"/>
      <c r="N31" s="319"/>
      <c r="O31" s="319"/>
    </row>
    <row r="32" spans="1:17" s="120" customFormat="1" ht="37.5">
      <c r="A32" s="8" t="s">
        <v>206</v>
      </c>
      <c r="B32" s="378"/>
      <c r="C32" s="379"/>
      <c r="D32" s="379"/>
      <c r="E32" s="379"/>
      <c r="F32" s="490" t="e">
        <f t="shared" si="0"/>
        <v>#DIV/0!</v>
      </c>
      <c r="G32" s="490"/>
      <c r="H32" s="490" t="e">
        <f t="shared" si="1"/>
        <v>#DIV/0!</v>
      </c>
      <c r="I32" s="490"/>
      <c r="J32" s="77"/>
      <c r="K32" s="77"/>
      <c r="L32" s="299"/>
      <c r="M32" s="299"/>
      <c r="N32" s="319"/>
      <c r="O32" s="319"/>
    </row>
    <row r="33" spans="1:16" s="120" customFormat="1">
      <c r="A33" s="8" t="s">
        <v>196</v>
      </c>
      <c r="B33" s="378"/>
      <c r="C33" s="379"/>
      <c r="D33" s="379"/>
      <c r="E33" s="379"/>
      <c r="F33" s="490" t="e">
        <f t="shared" si="0"/>
        <v>#DIV/0!</v>
      </c>
      <c r="G33" s="490"/>
      <c r="H33" s="490" t="e">
        <f t="shared" si="1"/>
        <v>#DIV/0!</v>
      </c>
      <c r="I33" s="490"/>
      <c r="J33" s="77"/>
      <c r="K33" s="77"/>
      <c r="L33" s="299"/>
      <c r="M33" s="299"/>
      <c r="N33" s="319"/>
      <c r="O33" s="319"/>
    </row>
    <row r="34" spans="1:16">
      <c r="A34" s="380"/>
      <c r="B34" s="380"/>
      <c r="C34" s="380"/>
      <c r="D34" s="380"/>
      <c r="E34" s="380"/>
      <c r="F34" s="20"/>
      <c r="G34" s="20"/>
      <c r="H34" s="20"/>
      <c r="I34" s="20"/>
      <c r="J34" s="20"/>
      <c r="K34" s="20"/>
      <c r="L34" s="149"/>
      <c r="M34" s="149"/>
      <c r="N34" s="149"/>
      <c r="O34" s="149"/>
    </row>
    <row r="35" spans="1:16" ht="15" customHeight="1">
      <c r="A35" s="20"/>
      <c r="B35" s="20"/>
      <c r="C35" s="20"/>
      <c r="D35" s="20"/>
      <c r="E35" s="20"/>
      <c r="F35" s="20"/>
      <c r="G35" s="20"/>
      <c r="H35" s="20"/>
      <c r="I35" s="20"/>
      <c r="J35" s="2"/>
      <c r="K35" s="2"/>
    </row>
    <row r="36" spans="1:16" ht="20.100000000000001" customHeight="1">
      <c r="A36" s="5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300"/>
      <c r="M36" s="300"/>
      <c r="N36" s="300"/>
      <c r="O36" s="300"/>
    </row>
    <row r="37" spans="1:16" ht="21.95" customHeight="1">
      <c r="A37" s="29" t="s">
        <v>264</v>
      </c>
      <c r="B37" s="29"/>
      <c r="C37" s="29"/>
      <c r="D37" s="29"/>
      <c r="E37" s="29"/>
      <c r="F37" s="29"/>
      <c r="G37" s="29"/>
      <c r="H37" s="29"/>
      <c r="I37" s="29"/>
      <c r="J37" s="29"/>
      <c r="K37" s="2"/>
    </row>
    <row r="38" spans="1:16" ht="20.100000000000001" customHeight="1">
      <c r="A38" s="381"/>
      <c r="B38" s="382"/>
      <c r="C38" s="382"/>
      <c r="D38" s="382"/>
      <c r="E38" s="2"/>
      <c r="F38" s="2"/>
      <c r="G38" s="2"/>
      <c r="H38" s="2"/>
      <c r="I38" s="2"/>
      <c r="J38" s="2"/>
      <c r="K38" s="2"/>
    </row>
    <row r="39" spans="1:16" ht="71.25" customHeight="1">
      <c r="A39" s="391" t="s">
        <v>197</v>
      </c>
      <c r="B39" s="487" t="s">
        <v>222</v>
      </c>
      <c r="C39" s="488"/>
      <c r="D39" s="487" t="s">
        <v>418</v>
      </c>
      <c r="E39" s="488"/>
      <c r="F39" s="487" t="s">
        <v>419</v>
      </c>
      <c r="G39" s="492"/>
      <c r="H39" s="487" t="s">
        <v>287</v>
      </c>
      <c r="I39" s="488"/>
      <c r="J39" s="487" t="s">
        <v>420</v>
      </c>
      <c r="K39" s="488"/>
      <c r="M39" s="303"/>
      <c r="N39" s="303"/>
      <c r="O39" s="303"/>
    </row>
    <row r="40" spans="1:16" ht="163.69999999999999" customHeight="1">
      <c r="A40" s="391"/>
      <c r="B40" s="313" t="s">
        <v>62</v>
      </c>
      <c r="C40" s="313" t="s">
        <v>63</v>
      </c>
      <c r="D40" s="313" t="s">
        <v>223</v>
      </c>
      <c r="E40" s="313" t="s">
        <v>377</v>
      </c>
      <c r="F40" s="313" t="s">
        <v>223</v>
      </c>
      <c r="G40" s="313" t="s">
        <v>377</v>
      </c>
      <c r="H40" s="313" t="s">
        <v>223</v>
      </c>
      <c r="I40" s="313" t="s">
        <v>377</v>
      </c>
      <c r="J40" s="313" t="s">
        <v>223</v>
      </c>
      <c r="K40" s="313" t="s">
        <v>377</v>
      </c>
      <c r="L40" s="322"/>
      <c r="M40" s="303"/>
      <c r="N40" s="303"/>
    </row>
    <row r="41" spans="1:16" ht="18" customHeight="1">
      <c r="A41" s="313">
        <v>1</v>
      </c>
      <c r="B41" s="313">
        <v>2</v>
      </c>
      <c r="C41" s="313">
        <v>3</v>
      </c>
      <c r="D41" s="313">
        <v>4</v>
      </c>
      <c r="E41" s="313">
        <v>5</v>
      </c>
      <c r="F41" s="313">
        <v>6</v>
      </c>
      <c r="G41" s="313">
        <v>7</v>
      </c>
      <c r="H41" s="313">
        <v>8</v>
      </c>
      <c r="I41" s="313">
        <v>9</v>
      </c>
      <c r="J41" s="313">
        <v>10</v>
      </c>
      <c r="K41" s="313">
        <v>11</v>
      </c>
      <c r="L41" s="300"/>
      <c r="M41" s="300"/>
      <c r="N41" s="300"/>
      <c r="O41" s="300"/>
    </row>
    <row r="42" spans="1:16" ht="56.25">
      <c r="A42" s="201" t="s">
        <v>319</v>
      </c>
      <c r="B42" s="383">
        <f>D42/$D$59*100</f>
        <v>0</v>
      </c>
      <c r="C42" s="384">
        <f>J42/J59*100</f>
        <v>42.771960963004531</v>
      </c>
      <c r="D42" s="313"/>
      <c r="E42" s="313"/>
      <c r="F42" s="313"/>
      <c r="G42" s="313"/>
      <c r="H42" s="313"/>
      <c r="I42" s="313"/>
      <c r="J42" s="313">
        <f>'1.Фінансовий результат'!F13</f>
        <v>32243.599999999999</v>
      </c>
      <c r="K42" s="313">
        <v>357092</v>
      </c>
      <c r="L42" s="300"/>
      <c r="M42" s="300"/>
      <c r="N42" s="300"/>
      <c r="O42" s="300"/>
    </row>
    <row r="43" spans="1:16" ht="37.5">
      <c r="A43" s="118" t="s">
        <v>378</v>
      </c>
      <c r="B43" s="323">
        <f t="shared" ref="B43:B58" si="2">D43/$D$59*100</f>
        <v>40.865587681910689</v>
      </c>
      <c r="C43" s="123">
        <f>J43/J59*100</f>
        <v>11.891638776465845</v>
      </c>
      <c r="D43" s="305">
        <f>'1.Фінансовий результат'!C24</f>
        <v>17028.2</v>
      </c>
      <c r="E43" s="305">
        <v>358527</v>
      </c>
      <c r="F43" s="305">
        <f>'1.Фінансовий результат'!E24</f>
        <v>26660.400000000001</v>
      </c>
      <c r="G43" s="305">
        <v>357043</v>
      </c>
      <c r="H43" s="305">
        <v>6806</v>
      </c>
      <c r="I43" s="305">
        <v>76760</v>
      </c>
      <c r="J43" s="305">
        <f>'1.Фінансовий результат'!F24</f>
        <v>8964.5</v>
      </c>
      <c r="K43" s="316">
        <v>357092</v>
      </c>
      <c r="L43" s="324"/>
      <c r="M43" s="300"/>
      <c r="N43" s="300"/>
      <c r="O43" s="325"/>
      <c r="P43" s="326"/>
    </row>
    <row r="44" spans="1:16" ht="27.2" customHeight="1">
      <c r="A44" s="118" t="s">
        <v>326</v>
      </c>
      <c r="B44" s="323">
        <f t="shared" si="2"/>
        <v>0</v>
      </c>
      <c r="C44" s="123">
        <f>J44/J59*100</f>
        <v>0</v>
      </c>
      <c r="D44" s="112"/>
      <c r="E44" s="309"/>
      <c r="F44" s="112"/>
      <c r="G44" s="309"/>
      <c r="H44" s="112"/>
      <c r="I44" s="309"/>
      <c r="J44" s="112"/>
      <c r="K44" s="317"/>
      <c r="M44" s="327"/>
      <c r="N44" s="328"/>
      <c r="O44" s="142"/>
    </row>
    <row r="45" spans="1:16" ht="131.25">
      <c r="A45" s="118" t="s">
        <v>320</v>
      </c>
      <c r="B45" s="323">
        <f t="shared" si="2"/>
        <v>0</v>
      </c>
      <c r="C45" s="123">
        <f>J45/J59*100</f>
        <v>0</v>
      </c>
      <c r="D45" s="305"/>
      <c r="E45" s="305"/>
      <c r="F45" s="305"/>
      <c r="G45" s="305"/>
      <c r="H45" s="305"/>
      <c r="I45" s="305"/>
      <c r="J45" s="305"/>
      <c r="K45" s="316"/>
      <c r="L45" s="324"/>
      <c r="M45" s="300"/>
      <c r="N45" s="300"/>
      <c r="O45" s="325"/>
      <c r="P45" s="326"/>
    </row>
    <row r="46" spans="1:16" ht="93.75">
      <c r="A46" s="118" t="s">
        <v>321</v>
      </c>
      <c r="B46" s="323">
        <f t="shared" si="2"/>
        <v>0</v>
      </c>
      <c r="C46" s="123">
        <f>J46/J59*100</f>
        <v>0</v>
      </c>
      <c r="D46" s="305"/>
      <c r="E46" s="305"/>
      <c r="F46" s="305"/>
      <c r="G46" s="305"/>
      <c r="H46" s="305"/>
      <c r="I46" s="305"/>
      <c r="J46" s="305"/>
      <c r="K46" s="316"/>
      <c r="L46" s="324"/>
      <c r="M46" s="300"/>
      <c r="N46" s="300"/>
      <c r="O46" s="325"/>
      <c r="P46" s="326"/>
    </row>
    <row r="47" spans="1:16" ht="75">
      <c r="A47" s="118" t="s">
        <v>379</v>
      </c>
      <c r="B47" s="323">
        <f t="shared" si="2"/>
        <v>4.3684963329877506</v>
      </c>
      <c r="C47" s="123">
        <f>J47/J59*100</f>
        <v>5.9598142333544253</v>
      </c>
      <c r="D47" s="305">
        <f>'1.Фінансовий результат'!C15</f>
        <v>1820.3</v>
      </c>
      <c r="E47" s="305">
        <v>358527</v>
      </c>
      <c r="F47" s="305">
        <f>'1.Фінансовий результат'!E15</f>
        <v>4299.6000000000004</v>
      </c>
      <c r="G47" s="305">
        <v>357043</v>
      </c>
      <c r="H47" s="305">
        <v>306.10000000000002</v>
      </c>
      <c r="I47" s="305">
        <v>76760</v>
      </c>
      <c r="J47" s="305">
        <f>'1.Фінансовий результат'!F15</f>
        <v>4492.8</v>
      </c>
      <c r="K47" s="316">
        <v>357092</v>
      </c>
      <c r="M47" s="300"/>
      <c r="N47" s="300"/>
      <c r="O47" s="329"/>
      <c r="P47" s="330"/>
    </row>
    <row r="48" spans="1:16" ht="56.25">
      <c r="A48" s="118" t="s">
        <v>380</v>
      </c>
      <c r="B48" s="323">
        <f>D48/$D$59*100</f>
        <v>0</v>
      </c>
      <c r="C48" s="123">
        <f>J48/J58*100</f>
        <v>0</v>
      </c>
      <c r="D48" s="274">
        <f>SUM(D49:D55)</f>
        <v>0</v>
      </c>
      <c r="E48" s="305"/>
      <c r="F48" s="274">
        <f>SUM(F49:F55)</f>
        <v>0</v>
      </c>
      <c r="G48" s="305"/>
      <c r="H48" s="274">
        <f>SUM(H49:H55)</f>
        <v>0</v>
      </c>
      <c r="I48" s="305"/>
      <c r="J48" s="274">
        <f>SUM(J49:J55)</f>
        <v>0</v>
      </c>
      <c r="K48" s="316"/>
      <c r="L48" s="330"/>
      <c r="M48" s="300"/>
      <c r="N48" s="300"/>
      <c r="O48" s="329"/>
      <c r="P48" s="330"/>
    </row>
    <row r="49" spans="1:16" s="338" customFormat="1" ht="56.25">
      <c r="A49" s="331" t="s">
        <v>381</v>
      </c>
      <c r="B49" s="332">
        <f t="shared" si="2"/>
        <v>0</v>
      </c>
      <c r="C49" s="333">
        <f>J49/J59*100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/>
      <c r="N49" s="336"/>
      <c r="O49" s="337"/>
      <c r="P49" s="335"/>
    </row>
    <row r="50" spans="1:16" s="338" customFormat="1" ht="93.75">
      <c r="A50" s="331" t="s">
        <v>382</v>
      </c>
      <c r="B50" s="332">
        <f t="shared" si="2"/>
        <v>0</v>
      </c>
      <c r="C50" s="333">
        <f>J50/J59*100</f>
        <v>0</v>
      </c>
      <c r="D50" s="334"/>
      <c r="E50" s="334"/>
      <c r="F50" s="334"/>
      <c r="G50" s="334"/>
      <c r="H50" s="334"/>
      <c r="I50" s="334"/>
      <c r="J50" s="334"/>
      <c r="K50" s="334"/>
      <c r="L50" s="335"/>
      <c r="M50" s="336"/>
      <c r="N50" s="336"/>
      <c r="O50" s="337"/>
      <c r="P50" s="335"/>
    </row>
    <row r="51" spans="1:16" s="338" customFormat="1" ht="93.75">
      <c r="A51" s="331" t="s">
        <v>383</v>
      </c>
      <c r="B51" s="332">
        <f t="shared" si="2"/>
        <v>0</v>
      </c>
      <c r="C51" s="333">
        <f>J51/J59*100</f>
        <v>0</v>
      </c>
      <c r="D51" s="334"/>
      <c r="E51" s="334"/>
      <c r="F51" s="334"/>
      <c r="G51" s="334"/>
      <c r="H51" s="334"/>
      <c r="I51" s="334"/>
      <c r="J51" s="334"/>
      <c r="K51" s="334"/>
      <c r="L51" s="335"/>
      <c r="M51" s="336"/>
      <c r="N51" s="336"/>
      <c r="O51" s="337"/>
      <c r="P51" s="335"/>
    </row>
    <row r="52" spans="1:16" s="338" customFormat="1" ht="37.5">
      <c r="A52" s="331" t="s">
        <v>384</v>
      </c>
      <c r="B52" s="332">
        <f t="shared" si="2"/>
        <v>0</v>
      </c>
      <c r="C52" s="333">
        <f>J52/J59*100</f>
        <v>0</v>
      </c>
      <c r="D52" s="334"/>
      <c r="E52" s="334"/>
      <c r="F52" s="334"/>
      <c r="G52" s="334"/>
      <c r="H52" s="334"/>
      <c r="I52" s="334"/>
      <c r="J52" s="334"/>
      <c r="K52" s="334"/>
      <c r="L52" s="335"/>
      <c r="M52" s="336"/>
      <c r="N52" s="336"/>
      <c r="O52" s="337"/>
      <c r="P52" s="335"/>
    </row>
    <row r="53" spans="1:16" s="338" customFormat="1" ht="56.25">
      <c r="A53" s="331" t="s">
        <v>385</v>
      </c>
      <c r="B53" s="332">
        <f t="shared" si="2"/>
        <v>0</v>
      </c>
      <c r="C53" s="333">
        <f>J53/J59*100</f>
        <v>0</v>
      </c>
      <c r="D53" s="334"/>
      <c r="E53" s="334"/>
      <c r="F53" s="334"/>
      <c r="G53" s="334"/>
      <c r="H53" s="334"/>
      <c r="I53" s="334"/>
      <c r="J53" s="334"/>
      <c r="K53" s="334"/>
      <c r="L53" s="335"/>
      <c r="M53" s="336"/>
      <c r="N53" s="336"/>
      <c r="O53" s="337"/>
      <c r="P53" s="335"/>
    </row>
    <row r="54" spans="1:16" s="338" customFormat="1" ht="37.5">
      <c r="A54" s="331" t="s">
        <v>387</v>
      </c>
      <c r="B54" s="332">
        <f t="shared" si="2"/>
        <v>0</v>
      </c>
      <c r="C54" s="333">
        <f>J54/J59*100</f>
        <v>0</v>
      </c>
      <c r="D54" s="334"/>
      <c r="E54" s="334"/>
      <c r="F54" s="334"/>
      <c r="G54" s="334"/>
      <c r="H54" s="334"/>
      <c r="I54" s="334"/>
      <c r="J54" s="334"/>
      <c r="K54" s="334"/>
      <c r="L54" s="335"/>
      <c r="M54" s="336"/>
      <c r="N54" s="336"/>
      <c r="O54" s="337"/>
      <c r="P54" s="335"/>
    </row>
    <row r="55" spans="1:16" s="338" customFormat="1" ht="131.25">
      <c r="A55" s="331" t="s">
        <v>386</v>
      </c>
      <c r="B55" s="332">
        <f t="shared" si="2"/>
        <v>0</v>
      </c>
      <c r="C55" s="333">
        <f>J55/J59*100</f>
        <v>0</v>
      </c>
      <c r="D55" s="334"/>
      <c r="E55" s="334"/>
      <c r="F55" s="334"/>
      <c r="G55" s="334"/>
      <c r="H55" s="334"/>
      <c r="I55" s="334"/>
      <c r="J55" s="334"/>
      <c r="K55" s="334"/>
      <c r="L55" s="335"/>
      <c r="M55" s="336"/>
      <c r="N55" s="336"/>
      <c r="O55" s="337"/>
      <c r="P55" s="335"/>
    </row>
    <row r="56" spans="1:16" ht="93.75">
      <c r="A56" s="118" t="s">
        <v>323</v>
      </c>
      <c r="B56" s="323">
        <f t="shared" si="2"/>
        <v>0</v>
      </c>
      <c r="C56" s="123">
        <f>J56/J59*100</f>
        <v>0</v>
      </c>
      <c r="D56" s="305"/>
      <c r="E56" s="305"/>
      <c r="F56" s="305"/>
      <c r="G56" s="305"/>
      <c r="H56" s="305"/>
      <c r="I56" s="305"/>
      <c r="J56" s="305"/>
      <c r="K56" s="316"/>
      <c r="M56" s="300"/>
      <c r="N56" s="300"/>
      <c r="O56" s="329"/>
      <c r="P56" s="330"/>
    </row>
    <row r="57" spans="1:16" ht="93.75">
      <c r="A57" s="118" t="s">
        <v>324</v>
      </c>
      <c r="B57" s="323">
        <f t="shared" si="2"/>
        <v>0</v>
      </c>
      <c r="C57" s="123">
        <f>F57/$F$59*100</f>
        <v>0</v>
      </c>
      <c r="D57" s="305"/>
      <c r="E57" s="305"/>
      <c r="F57" s="305"/>
      <c r="G57" s="305"/>
      <c r="H57" s="305"/>
      <c r="I57" s="305"/>
      <c r="J57" s="305"/>
      <c r="K57" s="316"/>
      <c r="M57" s="300"/>
      <c r="N57" s="300"/>
      <c r="O57" s="329"/>
      <c r="P57" s="330"/>
    </row>
    <row r="58" spans="1:16" ht="93.75">
      <c r="A58" s="118" t="s">
        <v>325</v>
      </c>
      <c r="B58" s="323">
        <f t="shared" si="2"/>
        <v>54.765915985101557</v>
      </c>
      <c r="C58" s="123">
        <f>F58/$F$59*100</f>
        <v>47.738544174096816</v>
      </c>
      <c r="D58" s="305">
        <f>'1.Фінансовий результат'!C29</f>
        <v>22820.3</v>
      </c>
      <c r="E58" s="305">
        <v>358527</v>
      </c>
      <c r="F58" s="305">
        <f>'1.Фінансовий результат'!E29</f>
        <v>28280.6</v>
      </c>
      <c r="G58" s="305">
        <v>357043</v>
      </c>
      <c r="H58" s="305">
        <v>8453</v>
      </c>
      <c r="I58" s="305">
        <v>76760</v>
      </c>
      <c r="J58" s="305">
        <f>'1.Фінансовий результат'!F29</f>
        <v>29684</v>
      </c>
      <c r="K58" s="316">
        <v>357092</v>
      </c>
      <c r="M58" s="300"/>
      <c r="N58" s="300"/>
      <c r="O58" s="300"/>
    </row>
    <row r="59" spans="1:16" s="124" customFormat="1">
      <c r="A59" s="189" t="s">
        <v>45</v>
      </c>
      <c r="B59" s="339">
        <f>SUM(B42:B48,B56:B58)</f>
        <v>100</v>
      </c>
      <c r="C59" s="340">
        <f>SUM(C42:C48,C56:C58)</f>
        <v>108.36195814692162</v>
      </c>
      <c r="D59" s="340">
        <f>SUM(D42:D48,D56:D58)</f>
        <v>41668.800000000003</v>
      </c>
      <c r="E59" s="340"/>
      <c r="F59" s="340">
        <f>SUM(F42:F48,F56:F58)</f>
        <v>59240.6</v>
      </c>
      <c r="G59" s="340"/>
      <c r="H59" s="340">
        <f>SUM(H42:H48,H56:H58)</f>
        <v>15565.1</v>
      </c>
      <c r="I59" s="340"/>
      <c r="J59" s="340">
        <f>SUM(J42:J48,J56:J58)</f>
        <v>75384.899999999994</v>
      </c>
      <c r="K59" s="340"/>
      <c r="M59" s="341"/>
      <c r="N59" s="341"/>
      <c r="O59" s="341"/>
    </row>
    <row r="60" spans="1:16" ht="20.100000000000001" customHeight="1">
      <c r="A60" s="152"/>
      <c r="B60" s="153"/>
      <c r="C60" s="153"/>
      <c r="D60" s="153"/>
      <c r="E60" s="153"/>
      <c r="F60" s="153"/>
      <c r="G60" s="153"/>
      <c r="H60" s="135"/>
      <c r="I60" s="135"/>
      <c r="J60" s="117"/>
      <c r="K60" s="117"/>
      <c r="M60" s="117"/>
      <c r="N60" s="117"/>
      <c r="O60" s="117"/>
    </row>
    <row r="61" spans="1:16" ht="21.95" customHeight="1">
      <c r="A61" s="117" t="s">
        <v>242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M61" s="117"/>
      <c r="N61" s="117"/>
      <c r="O61" s="117"/>
    </row>
    <row r="62" spans="1:16" ht="20.100000000000001" customHeight="1">
      <c r="A62" s="150"/>
    </row>
    <row r="63" spans="1:16" ht="81.75" customHeight="1">
      <c r="A63" s="305" t="s">
        <v>112</v>
      </c>
      <c r="B63" s="432" t="s">
        <v>60</v>
      </c>
      <c r="C63" s="433"/>
      <c r="D63" s="434"/>
      <c r="E63" s="305" t="s">
        <v>246</v>
      </c>
      <c r="F63" s="305" t="s">
        <v>56</v>
      </c>
      <c r="G63" s="305" t="s">
        <v>224</v>
      </c>
      <c r="H63" s="305" t="s">
        <v>76</v>
      </c>
      <c r="I63" s="432" t="s">
        <v>23</v>
      </c>
      <c r="J63" s="446"/>
      <c r="K63" s="434"/>
      <c r="L63" s="303"/>
      <c r="M63" s="303"/>
      <c r="N63" s="303"/>
      <c r="O63" s="303"/>
    </row>
    <row r="64" spans="1:16" ht="18" customHeight="1">
      <c r="A64" s="302">
        <v>1</v>
      </c>
      <c r="B64" s="432">
        <v>2</v>
      </c>
      <c r="C64" s="433"/>
      <c r="D64" s="434"/>
      <c r="E64" s="302">
        <v>3</v>
      </c>
      <c r="F64" s="302">
        <v>4</v>
      </c>
      <c r="G64" s="302">
        <v>5</v>
      </c>
      <c r="H64" s="154">
        <v>6</v>
      </c>
      <c r="I64" s="432">
        <v>7</v>
      </c>
      <c r="J64" s="446"/>
      <c r="K64" s="451"/>
      <c r="L64" s="300"/>
      <c r="M64" s="300"/>
      <c r="N64" s="300"/>
      <c r="O64" s="300"/>
    </row>
    <row r="65" spans="1:15" ht="20.100000000000001" customHeight="1">
      <c r="A65" s="121"/>
      <c r="B65" s="447"/>
      <c r="C65" s="448"/>
      <c r="D65" s="434"/>
      <c r="E65" s="309"/>
      <c r="F65" s="309"/>
      <c r="G65" s="309"/>
      <c r="H65" s="112"/>
      <c r="I65" s="432"/>
      <c r="J65" s="446"/>
      <c r="K65" s="434"/>
      <c r="L65" s="142"/>
      <c r="M65" s="142"/>
      <c r="N65" s="142"/>
      <c r="O65" s="142"/>
    </row>
    <row r="66" spans="1:15" ht="20.100000000000001" customHeight="1">
      <c r="A66" s="121"/>
      <c r="B66" s="447"/>
      <c r="C66" s="448"/>
      <c r="D66" s="434"/>
      <c r="E66" s="155"/>
      <c r="F66" s="309"/>
      <c r="G66" s="155"/>
      <c r="H66" s="156"/>
      <c r="I66" s="432"/>
      <c r="J66" s="446"/>
      <c r="K66" s="434"/>
      <c r="L66" s="142"/>
      <c r="M66" s="142"/>
      <c r="N66" s="142"/>
      <c r="O66" s="142"/>
    </row>
    <row r="67" spans="1:15" ht="20.100000000000001" customHeight="1">
      <c r="A67" s="121"/>
      <c r="B67" s="447"/>
      <c r="C67" s="448"/>
      <c r="D67" s="434"/>
      <c r="E67" s="309"/>
      <c r="F67" s="309"/>
      <c r="G67" s="309"/>
      <c r="H67" s="112"/>
      <c r="I67" s="432"/>
      <c r="J67" s="446"/>
      <c r="K67" s="434"/>
      <c r="L67" s="142"/>
      <c r="M67" s="142"/>
      <c r="N67" s="142"/>
      <c r="O67" s="142"/>
    </row>
    <row r="68" spans="1:15" ht="20.100000000000001" customHeight="1">
      <c r="A68" s="121" t="s">
        <v>45</v>
      </c>
      <c r="B68" s="432" t="s">
        <v>24</v>
      </c>
      <c r="C68" s="433"/>
      <c r="D68" s="434"/>
      <c r="E68" s="305"/>
      <c r="F68" s="305" t="s">
        <v>24</v>
      </c>
      <c r="G68" s="305" t="s">
        <v>24</v>
      </c>
      <c r="H68" s="305"/>
      <c r="I68" s="432" t="s">
        <v>24</v>
      </c>
      <c r="J68" s="446"/>
      <c r="K68" s="434"/>
      <c r="L68" s="142"/>
      <c r="M68" s="142"/>
      <c r="N68" s="142"/>
      <c r="O68" s="142"/>
    </row>
    <row r="69" spans="1:15" ht="20.100000000000001" customHeight="1">
      <c r="A69" s="135"/>
      <c r="B69" s="300"/>
      <c r="C69" s="300"/>
      <c r="D69" s="300"/>
      <c r="E69" s="300"/>
      <c r="F69" s="300"/>
      <c r="G69" s="300"/>
      <c r="H69" s="300"/>
      <c r="I69" s="300"/>
      <c r="J69" s="300"/>
      <c r="K69" s="120"/>
      <c r="L69" s="120"/>
      <c r="M69" s="120"/>
      <c r="N69" s="120"/>
      <c r="O69" s="120"/>
    </row>
    <row r="70" spans="1:15" ht="21.95" customHeight="1">
      <c r="A70" s="117" t="s">
        <v>243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</row>
    <row r="71" spans="1:15" ht="20.100000000000001" customHeight="1">
      <c r="A71" s="117"/>
      <c r="B71" s="157"/>
      <c r="C71" s="157"/>
      <c r="D71" s="157"/>
      <c r="E71" s="117"/>
      <c r="F71" s="117"/>
      <c r="G71" s="117"/>
      <c r="H71" s="117"/>
      <c r="I71" s="117"/>
    </row>
    <row r="72" spans="1:15" ht="82.5" customHeight="1">
      <c r="A72" s="305" t="s">
        <v>55</v>
      </c>
      <c r="B72" s="432" t="s">
        <v>247</v>
      </c>
      <c r="C72" s="433"/>
      <c r="D72" s="434"/>
      <c r="E72" s="423" t="s">
        <v>234</v>
      </c>
      <c r="F72" s="425"/>
      <c r="G72" s="442" t="s">
        <v>233</v>
      </c>
      <c r="H72" s="442"/>
      <c r="I72" s="423" t="s">
        <v>77</v>
      </c>
      <c r="J72" s="483"/>
      <c r="K72" s="425"/>
      <c r="L72" s="303"/>
      <c r="M72" s="303"/>
      <c r="N72" s="303"/>
      <c r="O72" s="303"/>
    </row>
    <row r="73" spans="1:15" ht="18" customHeight="1">
      <c r="A73" s="305">
        <v>1</v>
      </c>
      <c r="B73" s="432">
        <v>2</v>
      </c>
      <c r="C73" s="433"/>
      <c r="D73" s="446"/>
      <c r="E73" s="432">
        <v>3</v>
      </c>
      <c r="F73" s="434"/>
      <c r="G73" s="432">
        <v>4</v>
      </c>
      <c r="H73" s="445"/>
      <c r="I73" s="432">
        <v>5</v>
      </c>
      <c r="J73" s="450"/>
      <c r="K73" s="451"/>
      <c r="L73" s="300"/>
      <c r="M73" s="300"/>
      <c r="N73" s="300"/>
      <c r="O73" s="300"/>
    </row>
    <row r="74" spans="1:15" ht="20.100000000000001" customHeight="1">
      <c r="A74" s="121" t="s">
        <v>225</v>
      </c>
      <c r="B74" s="417"/>
      <c r="C74" s="418"/>
      <c r="D74" s="437"/>
      <c r="E74" s="301"/>
      <c r="F74" s="155"/>
      <c r="G74" s="158"/>
      <c r="H74" s="155"/>
      <c r="I74" s="308"/>
      <c r="J74" s="307"/>
      <c r="K74" s="159"/>
      <c r="L74" s="142"/>
      <c r="M74" s="142"/>
      <c r="N74" s="142"/>
      <c r="O74" s="142"/>
    </row>
    <row r="75" spans="1:15" ht="20.100000000000001" customHeight="1">
      <c r="A75" s="121" t="s">
        <v>90</v>
      </c>
      <c r="B75" s="417"/>
      <c r="C75" s="418"/>
      <c r="D75" s="437"/>
      <c r="E75" s="301"/>
      <c r="F75" s="155"/>
      <c r="G75" s="158"/>
      <c r="H75" s="155"/>
      <c r="I75" s="308"/>
      <c r="J75" s="307"/>
      <c r="K75" s="159"/>
      <c r="L75" s="142"/>
      <c r="M75" s="142"/>
      <c r="N75" s="142"/>
      <c r="O75" s="142"/>
    </row>
    <row r="76" spans="1:15" ht="20.100000000000001" customHeight="1">
      <c r="A76" s="121"/>
      <c r="B76" s="417"/>
      <c r="C76" s="418"/>
      <c r="D76" s="437"/>
      <c r="E76" s="301"/>
      <c r="F76" s="155"/>
      <c r="G76" s="158"/>
      <c r="H76" s="155"/>
      <c r="I76" s="308"/>
      <c r="J76" s="307"/>
      <c r="K76" s="159"/>
      <c r="L76" s="142"/>
      <c r="M76" s="142"/>
      <c r="N76" s="142"/>
      <c r="O76" s="142"/>
    </row>
    <row r="77" spans="1:15" ht="20.100000000000001" customHeight="1">
      <c r="A77" s="121" t="s">
        <v>226</v>
      </c>
      <c r="B77" s="417"/>
      <c r="C77" s="418"/>
      <c r="D77" s="437"/>
      <c r="E77" s="301"/>
      <c r="F77" s="155"/>
      <c r="G77" s="158"/>
      <c r="H77" s="155"/>
      <c r="I77" s="308"/>
      <c r="J77" s="307"/>
      <c r="K77" s="159"/>
      <c r="L77" s="142"/>
      <c r="M77" s="142"/>
      <c r="N77" s="142"/>
      <c r="O77" s="142"/>
    </row>
    <row r="78" spans="1:15" ht="20.100000000000001" customHeight="1">
      <c r="A78" s="121" t="s">
        <v>91</v>
      </c>
      <c r="B78" s="417"/>
      <c r="C78" s="418"/>
      <c r="D78" s="437"/>
      <c r="E78" s="301"/>
      <c r="F78" s="155"/>
      <c r="G78" s="158"/>
      <c r="H78" s="155"/>
      <c r="I78" s="308"/>
      <c r="J78" s="307"/>
      <c r="K78" s="159"/>
      <c r="L78" s="142"/>
      <c r="M78" s="142"/>
      <c r="N78" s="142"/>
      <c r="O78" s="142"/>
    </row>
    <row r="79" spans="1:15" ht="20.100000000000001" customHeight="1">
      <c r="A79" s="121"/>
      <c r="B79" s="417"/>
      <c r="C79" s="418"/>
      <c r="D79" s="437"/>
      <c r="E79" s="301"/>
      <c r="F79" s="155"/>
      <c r="G79" s="158"/>
      <c r="H79" s="155"/>
      <c r="I79" s="308"/>
      <c r="J79" s="307"/>
      <c r="K79" s="159"/>
      <c r="L79" s="142"/>
      <c r="M79" s="142"/>
      <c r="N79" s="142"/>
      <c r="O79" s="142"/>
    </row>
    <row r="80" spans="1:15" ht="20.100000000000001" customHeight="1">
      <c r="A80" s="121" t="s">
        <v>227</v>
      </c>
      <c r="B80" s="417"/>
      <c r="C80" s="418"/>
      <c r="D80" s="437"/>
      <c r="E80" s="301"/>
      <c r="F80" s="155"/>
      <c r="G80" s="158"/>
      <c r="H80" s="155"/>
      <c r="I80" s="308"/>
      <c r="J80" s="307"/>
      <c r="K80" s="159"/>
      <c r="L80" s="142"/>
      <c r="M80" s="142"/>
      <c r="N80" s="142"/>
      <c r="O80" s="142"/>
    </row>
    <row r="81" spans="1:29" ht="20.100000000000001" customHeight="1">
      <c r="A81" s="121" t="s">
        <v>90</v>
      </c>
      <c r="B81" s="417"/>
      <c r="C81" s="418"/>
      <c r="D81" s="437"/>
      <c r="E81" s="301"/>
      <c r="F81" s="155"/>
      <c r="G81" s="158"/>
      <c r="H81" s="155"/>
      <c r="I81" s="308"/>
      <c r="J81" s="307"/>
      <c r="K81" s="159"/>
      <c r="L81" s="142"/>
      <c r="M81" s="142"/>
      <c r="N81" s="142"/>
      <c r="O81" s="142"/>
    </row>
    <row r="82" spans="1:29" ht="20.100000000000001" customHeight="1">
      <c r="A82" s="121"/>
      <c r="B82" s="417"/>
      <c r="C82" s="418"/>
      <c r="D82" s="437"/>
      <c r="E82" s="301"/>
      <c r="F82" s="155"/>
      <c r="G82" s="158"/>
      <c r="H82" s="155"/>
      <c r="I82" s="308"/>
      <c r="J82" s="307"/>
      <c r="K82" s="159"/>
      <c r="L82" s="142"/>
      <c r="M82" s="142"/>
      <c r="N82" s="142"/>
      <c r="O82" s="142"/>
    </row>
    <row r="83" spans="1:29" ht="20.100000000000001" customHeight="1">
      <c r="A83" s="121" t="s">
        <v>45</v>
      </c>
      <c r="B83" s="417"/>
      <c r="C83" s="418"/>
      <c r="D83" s="437"/>
      <c r="E83" s="301"/>
      <c r="F83" s="160"/>
      <c r="G83" s="158"/>
      <c r="H83" s="160"/>
      <c r="I83" s="161"/>
      <c r="J83" s="307"/>
      <c r="K83" s="159"/>
      <c r="L83" s="142"/>
      <c r="M83" s="142"/>
      <c r="N83" s="142"/>
      <c r="O83" s="142"/>
    </row>
    <row r="84" spans="1:29">
      <c r="E84" s="162"/>
      <c r="F84" s="162"/>
      <c r="G84" s="162"/>
    </row>
    <row r="85" spans="1:29">
      <c r="E85" s="162"/>
      <c r="F85" s="162"/>
      <c r="G85" s="162"/>
    </row>
    <row r="86" spans="1:29">
      <c r="A86" s="441" t="s">
        <v>265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</row>
    <row r="87" spans="1:29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</row>
    <row r="88" spans="1:29" ht="18.75" customHeight="1">
      <c r="A88" s="468" t="s">
        <v>40</v>
      </c>
      <c r="B88" s="473" t="s">
        <v>160</v>
      </c>
      <c r="C88" s="474"/>
      <c r="D88" s="475"/>
      <c r="E88" s="442" t="s">
        <v>161</v>
      </c>
      <c r="F88" s="442" t="s">
        <v>232</v>
      </c>
      <c r="G88" s="442" t="s">
        <v>162</v>
      </c>
      <c r="H88" s="432" t="s">
        <v>248</v>
      </c>
      <c r="I88" s="433"/>
      <c r="J88" s="433"/>
      <c r="K88" s="433"/>
      <c r="L88" s="445"/>
      <c r="M88" s="303"/>
      <c r="N88" s="303"/>
      <c r="O88" s="303"/>
      <c r="P88" s="303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</row>
    <row r="89" spans="1:29" ht="18.75" customHeight="1">
      <c r="A89" s="469"/>
      <c r="B89" s="479"/>
      <c r="C89" s="480"/>
      <c r="D89" s="481"/>
      <c r="E89" s="444"/>
      <c r="F89" s="444"/>
      <c r="G89" s="444"/>
      <c r="H89" s="306" t="s">
        <v>163</v>
      </c>
      <c r="I89" s="305" t="s">
        <v>164</v>
      </c>
      <c r="J89" s="305" t="s">
        <v>28</v>
      </c>
      <c r="K89" s="305" t="s">
        <v>165</v>
      </c>
      <c r="L89" s="343" t="s">
        <v>166</v>
      </c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0"/>
      <c r="Z89" s="300"/>
      <c r="AA89" s="300"/>
      <c r="AB89" s="300"/>
      <c r="AC89" s="300"/>
    </row>
    <row r="90" spans="1:29">
      <c r="A90" s="164">
        <v>1</v>
      </c>
      <c r="B90" s="438">
        <v>2</v>
      </c>
      <c r="C90" s="439"/>
      <c r="D90" s="440"/>
      <c r="E90" s="165">
        <v>3</v>
      </c>
      <c r="F90" s="165">
        <v>4</v>
      </c>
      <c r="G90" s="166">
        <v>5</v>
      </c>
      <c r="H90" s="165">
        <v>6</v>
      </c>
      <c r="I90" s="165">
        <v>7</v>
      </c>
      <c r="J90" s="165">
        <v>8</v>
      </c>
      <c r="K90" s="165">
        <v>9</v>
      </c>
      <c r="L90" s="344">
        <v>10</v>
      </c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11"/>
      <c r="X90" s="311"/>
      <c r="Y90" s="311"/>
      <c r="Z90" s="311"/>
      <c r="AA90" s="311"/>
      <c r="AB90" s="311"/>
      <c r="AC90" s="311"/>
    </row>
    <row r="91" spans="1:29">
      <c r="A91" s="164"/>
      <c r="B91" s="438"/>
      <c r="C91" s="439"/>
      <c r="D91" s="440"/>
      <c r="E91" s="165"/>
      <c r="F91" s="165"/>
      <c r="G91" s="167">
        <f>SUM(H91:L91)</f>
        <v>0</v>
      </c>
      <c r="H91" s="168"/>
      <c r="I91" s="168"/>
      <c r="J91" s="168"/>
      <c r="K91" s="168"/>
      <c r="L91" s="346"/>
      <c r="M91" s="347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347"/>
      <c r="Z91" s="347"/>
      <c r="AA91" s="347"/>
      <c r="AB91" s="347"/>
      <c r="AC91" s="347"/>
    </row>
    <row r="92" spans="1:29">
      <c r="A92" s="164"/>
      <c r="B92" s="438"/>
      <c r="C92" s="439"/>
      <c r="D92" s="440"/>
      <c r="E92" s="165"/>
      <c r="F92" s="165"/>
      <c r="G92" s="167">
        <f>SUM(H92:L92)</f>
        <v>0</v>
      </c>
      <c r="H92" s="168"/>
      <c r="I92" s="168"/>
      <c r="J92" s="168"/>
      <c r="K92" s="168"/>
      <c r="L92" s="346"/>
      <c r="M92" s="347"/>
      <c r="N92" s="347"/>
      <c r="O92" s="347"/>
      <c r="P92" s="347"/>
      <c r="Q92" s="347"/>
      <c r="R92" s="347"/>
      <c r="S92" s="347"/>
      <c r="T92" s="347"/>
      <c r="U92" s="347"/>
      <c r="V92" s="347"/>
      <c r="W92" s="347"/>
      <c r="X92" s="347"/>
      <c r="Y92" s="347"/>
      <c r="Z92" s="347"/>
      <c r="AA92" s="347"/>
      <c r="AB92" s="347"/>
      <c r="AC92" s="347"/>
    </row>
    <row r="93" spans="1:29">
      <c r="A93" s="164"/>
      <c r="B93" s="438"/>
      <c r="C93" s="439"/>
      <c r="D93" s="440"/>
      <c r="E93" s="165"/>
      <c r="F93" s="165"/>
      <c r="G93" s="167">
        <f>SUM(H93:L93)</f>
        <v>0</v>
      </c>
      <c r="H93" s="168"/>
      <c r="I93" s="168"/>
      <c r="J93" s="168"/>
      <c r="K93" s="168"/>
      <c r="L93" s="346"/>
      <c r="M93" s="347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7"/>
      <c r="AC93" s="347"/>
    </row>
    <row r="94" spans="1:29">
      <c r="A94" s="164"/>
      <c r="B94" s="438"/>
      <c r="C94" s="439"/>
      <c r="D94" s="440"/>
      <c r="E94" s="165"/>
      <c r="F94" s="165"/>
      <c r="G94" s="167">
        <f>SUM(H94:L94)</f>
        <v>0</v>
      </c>
      <c r="H94" s="168"/>
      <c r="I94" s="168"/>
      <c r="J94" s="168"/>
      <c r="K94" s="168"/>
      <c r="L94" s="346"/>
      <c r="M94" s="347"/>
      <c r="N94" s="347"/>
      <c r="O94" s="347"/>
      <c r="P94" s="347"/>
      <c r="Q94" s="347"/>
      <c r="R94" s="347"/>
      <c r="S94" s="347"/>
      <c r="T94" s="347"/>
      <c r="U94" s="347"/>
      <c r="V94" s="347"/>
      <c r="W94" s="347"/>
      <c r="X94" s="347"/>
      <c r="Y94" s="347"/>
      <c r="Z94" s="347"/>
      <c r="AA94" s="347"/>
      <c r="AB94" s="347"/>
      <c r="AC94" s="347"/>
    </row>
    <row r="95" spans="1:29">
      <c r="A95" s="169" t="s">
        <v>45</v>
      </c>
      <c r="B95" s="471"/>
      <c r="C95" s="472"/>
      <c r="D95" s="440"/>
      <c r="E95" s="136"/>
      <c r="F95" s="170"/>
      <c r="G95" s="171">
        <f>G91+G92+G93+G94</f>
        <v>0</v>
      </c>
      <c r="H95" s="136"/>
      <c r="I95" s="136"/>
      <c r="J95" s="136"/>
      <c r="K95" s="136"/>
      <c r="L95" s="348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</row>
    <row r="96" spans="1:29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349"/>
      <c r="N96" s="349"/>
      <c r="O96" s="349"/>
      <c r="P96" s="349"/>
      <c r="Q96" s="350"/>
      <c r="R96" s="350"/>
      <c r="S96" s="350"/>
      <c r="T96" s="350"/>
      <c r="U96" s="350"/>
      <c r="V96" s="350"/>
      <c r="W96" s="351"/>
      <c r="X96" s="351"/>
      <c r="Y96" s="351"/>
      <c r="Z96" s="351"/>
      <c r="AA96" s="351"/>
      <c r="AB96" s="351"/>
      <c r="AC96" s="351"/>
    </row>
    <row r="97" spans="1:33">
      <c r="A97" s="441" t="s">
        <v>266</v>
      </c>
      <c r="B97" s="441"/>
      <c r="C97" s="441"/>
      <c r="D97" s="441"/>
      <c r="E97" s="441"/>
      <c r="F97" s="441"/>
      <c r="G97" s="441"/>
      <c r="H97" s="441"/>
      <c r="I97" s="441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</row>
    <row r="98" spans="1:33">
      <c r="A98" s="304"/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</row>
    <row r="99" spans="1:33" ht="18.75" customHeight="1">
      <c r="A99" s="468" t="s">
        <v>40</v>
      </c>
      <c r="B99" s="473" t="s">
        <v>167</v>
      </c>
      <c r="C99" s="474"/>
      <c r="D99" s="475"/>
      <c r="E99" s="442" t="s">
        <v>160</v>
      </c>
      <c r="F99" s="442" t="s">
        <v>232</v>
      </c>
      <c r="G99" s="442" t="s">
        <v>168</v>
      </c>
      <c r="H99" s="432" t="s">
        <v>169</v>
      </c>
      <c r="I99" s="433"/>
      <c r="J99" s="433"/>
      <c r="K99" s="433"/>
      <c r="L99" s="445"/>
      <c r="M99" s="303"/>
      <c r="N99" s="303"/>
      <c r="O99" s="303"/>
      <c r="P99" s="303"/>
      <c r="Q99" s="303"/>
      <c r="R99" s="303"/>
      <c r="S99" s="303"/>
      <c r="T99" s="303"/>
      <c r="U99" s="303"/>
      <c r="V99" s="300"/>
      <c r="W99" s="300"/>
      <c r="X99" s="300"/>
      <c r="Y99" s="300"/>
      <c r="Z99" s="300"/>
      <c r="AA99" s="300"/>
      <c r="AB99" s="300"/>
      <c r="AC99" s="300"/>
      <c r="AG99" s="122" t="s">
        <v>346</v>
      </c>
    </row>
    <row r="100" spans="1:33" ht="18.75" customHeight="1">
      <c r="A100" s="470"/>
      <c r="B100" s="476"/>
      <c r="C100" s="477"/>
      <c r="D100" s="478"/>
      <c r="E100" s="443"/>
      <c r="F100" s="443"/>
      <c r="G100" s="443"/>
      <c r="H100" s="442" t="s">
        <v>170</v>
      </c>
      <c r="I100" s="432" t="s">
        <v>86</v>
      </c>
      <c r="J100" s="433"/>
      <c r="K100" s="433"/>
      <c r="L100" s="445"/>
      <c r="M100" s="303"/>
      <c r="N100" s="303"/>
      <c r="O100" s="303"/>
      <c r="P100" s="303"/>
      <c r="Q100" s="303"/>
      <c r="R100" s="303"/>
      <c r="S100" s="303"/>
      <c r="T100" s="303"/>
      <c r="U100" s="303"/>
      <c r="V100" s="300"/>
      <c r="W100" s="300"/>
      <c r="X100" s="300"/>
      <c r="Y100" s="300"/>
      <c r="Z100" s="300"/>
      <c r="AA100" s="300"/>
      <c r="AB100" s="300"/>
      <c r="AC100" s="300"/>
    </row>
    <row r="101" spans="1:33">
      <c r="A101" s="469"/>
      <c r="B101" s="479"/>
      <c r="C101" s="480"/>
      <c r="D101" s="481"/>
      <c r="E101" s="444"/>
      <c r="F101" s="444"/>
      <c r="G101" s="444"/>
      <c r="H101" s="444"/>
      <c r="I101" s="305" t="s">
        <v>249</v>
      </c>
      <c r="J101" s="305" t="s">
        <v>250</v>
      </c>
      <c r="K101" s="305" t="s">
        <v>251</v>
      </c>
      <c r="L101" s="305" t="s">
        <v>252</v>
      </c>
      <c r="M101" s="303"/>
      <c r="N101" s="303"/>
      <c r="O101" s="303"/>
      <c r="P101" s="303"/>
      <c r="Q101" s="303"/>
      <c r="R101" s="303"/>
      <c r="S101" s="303"/>
      <c r="T101" s="303"/>
      <c r="U101" s="303"/>
      <c r="V101" s="300"/>
      <c r="W101" s="300"/>
      <c r="X101" s="300"/>
      <c r="Y101" s="300"/>
      <c r="Z101" s="300"/>
      <c r="AA101" s="300"/>
      <c r="AB101" s="300"/>
      <c r="AC101" s="300"/>
    </row>
    <row r="102" spans="1:33">
      <c r="A102" s="164">
        <v>1</v>
      </c>
      <c r="B102" s="438">
        <v>2</v>
      </c>
      <c r="C102" s="439"/>
      <c r="D102" s="440"/>
      <c r="E102" s="165">
        <v>3</v>
      </c>
      <c r="F102" s="165">
        <v>4</v>
      </c>
      <c r="G102" s="165">
        <v>5</v>
      </c>
      <c r="H102" s="165">
        <v>6</v>
      </c>
      <c r="I102" s="165">
        <v>7</v>
      </c>
      <c r="J102" s="165">
        <v>8</v>
      </c>
      <c r="K102" s="165">
        <v>9</v>
      </c>
      <c r="L102" s="165">
        <v>10</v>
      </c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11"/>
      <c r="Y102" s="311"/>
      <c r="Z102" s="311"/>
      <c r="AA102" s="311"/>
      <c r="AB102" s="311"/>
      <c r="AC102" s="311"/>
    </row>
    <row r="103" spans="1:33">
      <c r="A103" s="173"/>
      <c r="B103" s="455"/>
      <c r="C103" s="456"/>
      <c r="D103" s="457"/>
      <c r="E103" s="174"/>
      <c r="F103" s="174"/>
      <c r="G103" s="174"/>
      <c r="H103" s="175">
        <f>SUM(I103:L103)</f>
        <v>0</v>
      </c>
      <c r="I103" s="168"/>
      <c r="J103" s="168"/>
      <c r="K103" s="168"/>
      <c r="L103" s="168"/>
      <c r="M103" s="352"/>
      <c r="N103" s="352"/>
      <c r="O103" s="352"/>
      <c r="P103" s="352"/>
      <c r="Q103" s="353"/>
      <c r="R103" s="353"/>
      <c r="S103" s="353"/>
      <c r="T103" s="353"/>
      <c r="U103" s="353"/>
      <c r="V103" s="347"/>
      <c r="W103" s="347"/>
      <c r="X103" s="347"/>
      <c r="Y103" s="347"/>
      <c r="Z103" s="347"/>
      <c r="AA103" s="347"/>
      <c r="AB103" s="347"/>
      <c r="AC103" s="347"/>
    </row>
    <row r="104" spans="1:33">
      <c r="A104" s="173"/>
      <c r="B104" s="455"/>
      <c r="C104" s="456"/>
      <c r="D104" s="457"/>
      <c r="E104" s="174"/>
      <c r="F104" s="174"/>
      <c r="G104" s="174"/>
      <c r="H104" s="175">
        <f>SUM(I104:L104)</f>
        <v>0</v>
      </c>
      <c r="I104" s="168"/>
      <c r="J104" s="168"/>
      <c r="K104" s="168"/>
      <c r="L104" s="168"/>
      <c r="M104" s="352"/>
      <c r="N104" s="352"/>
      <c r="O104" s="352"/>
      <c r="P104" s="352"/>
      <c r="Q104" s="353"/>
      <c r="R104" s="353"/>
      <c r="S104" s="353"/>
      <c r="T104" s="353"/>
      <c r="U104" s="353"/>
      <c r="V104" s="347"/>
      <c r="W104" s="347"/>
      <c r="X104" s="347"/>
      <c r="Y104" s="347"/>
      <c r="Z104" s="347"/>
      <c r="AA104" s="347"/>
      <c r="AB104" s="347"/>
      <c r="AC104" s="347"/>
    </row>
    <row r="105" spans="1:33">
      <c r="A105" s="173"/>
      <c r="B105" s="455"/>
      <c r="C105" s="456"/>
      <c r="D105" s="457"/>
      <c r="E105" s="174"/>
      <c r="F105" s="174"/>
      <c r="G105" s="174"/>
      <c r="H105" s="175">
        <f>SUM(I105:L105)</f>
        <v>0</v>
      </c>
      <c r="I105" s="168"/>
      <c r="J105" s="168"/>
      <c r="K105" s="168"/>
      <c r="L105" s="168"/>
      <c r="M105" s="352"/>
      <c r="N105" s="352"/>
      <c r="O105" s="352"/>
      <c r="P105" s="352"/>
      <c r="Q105" s="353"/>
      <c r="R105" s="353"/>
      <c r="S105" s="353"/>
      <c r="T105" s="353"/>
      <c r="U105" s="353"/>
      <c r="V105" s="347"/>
      <c r="W105" s="347"/>
      <c r="X105" s="347"/>
      <c r="Y105" s="347"/>
      <c r="Z105" s="347"/>
      <c r="AA105" s="347"/>
      <c r="AB105" s="347"/>
      <c r="AC105" s="347"/>
    </row>
    <row r="106" spans="1:33">
      <c r="A106" s="173"/>
      <c r="B106" s="455"/>
      <c r="C106" s="456"/>
      <c r="D106" s="457"/>
      <c r="E106" s="174"/>
      <c r="F106" s="174"/>
      <c r="G106" s="174"/>
      <c r="H106" s="175">
        <f>SUM(I106:L106)</f>
        <v>0</v>
      </c>
      <c r="I106" s="168"/>
      <c r="J106" s="168"/>
      <c r="K106" s="168"/>
      <c r="L106" s="168"/>
      <c r="M106" s="352"/>
      <c r="N106" s="352"/>
      <c r="O106" s="352"/>
      <c r="P106" s="352"/>
      <c r="Q106" s="353"/>
      <c r="R106" s="353"/>
      <c r="S106" s="353"/>
      <c r="T106" s="353"/>
      <c r="U106" s="353"/>
      <c r="V106" s="347"/>
      <c r="W106" s="347"/>
      <c r="X106" s="347"/>
      <c r="Y106" s="347"/>
      <c r="Z106" s="347"/>
      <c r="AA106" s="347"/>
      <c r="AB106" s="347"/>
      <c r="AC106" s="347"/>
    </row>
    <row r="107" spans="1:33">
      <c r="A107" s="169" t="s">
        <v>45</v>
      </c>
      <c r="B107" s="462"/>
      <c r="C107" s="463"/>
      <c r="D107" s="457"/>
      <c r="E107" s="169"/>
      <c r="F107" s="169"/>
      <c r="G107" s="169"/>
      <c r="H107" s="176">
        <f>H103+H104+H105+H106</f>
        <v>0</v>
      </c>
      <c r="I107" s="169"/>
      <c r="J107" s="169"/>
      <c r="K107" s="169"/>
      <c r="L107" s="16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2"/>
      <c r="W107" s="142"/>
      <c r="X107" s="142"/>
      <c r="Y107" s="142"/>
      <c r="Z107" s="142"/>
      <c r="AA107" s="142"/>
      <c r="AB107" s="142"/>
      <c r="AC107" s="142"/>
    </row>
    <row r="108" spans="1:33">
      <c r="A108" s="300"/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Q108" s="354"/>
      <c r="R108" s="354"/>
      <c r="S108" s="354"/>
      <c r="T108" s="354"/>
      <c r="U108" s="354"/>
      <c r="AC108" s="354"/>
    </row>
    <row r="109" spans="1:33">
      <c r="A109" s="300"/>
      <c r="B109" s="300"/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Q109" s="354"/>
      <c r="R109" s="354"/>
      <c r="S109" s="354"/>
      <c r="T109" s="354"/>
      <c r="U109" s="354"/>
      <c r="AC109" s="354"/>
    </row>
    <row r="110" spans="1:33">
      <c r="A110" s="441" t="s">
        <v>244</v>
      </c>
      <c r="B110" s="441"/>
      <c r="C110" s="441"/>
      <c r="D110" s="441"/>
      <c r="E110" s="441"/>
      <c r="F110" s="441"/>
      <c r="G110" s="441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</row>
    <row r="111" spans="1:33">
      <c r="A111" s="177"/>
      <c r="B111" s="177"/>
      <c r="C111" s="177"/>
      <c r="D111" s="177"/>
      <c r="E111" s="177"/>
      <c r="F111" s="177"/>
      <c r="G111" s="177"/>
      <c r="H111" s="177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7"/>
      <c r="W111" s="482" t="s">
        <v>186</v>
      </c>
      <c r="X111" s="482"/>
      <c r="Y111" s="482"/>
      <c r="Z111" s="482"/>
      <c r="AA111" s="482"/>
      <c r="AB111" s="482"/>
      <c r="AC111" s="482"/>
    </row>
    <row r="112" spans="1:33" ht="18.75" customHeight="1">
      <c r="A112" s="449" t="s">
        <v>40</v>
      </c>
      <c r="B112" s="423" t="s">
        <v>187</v>
      </c>
      <c r="C112" s="424"/>
      <c r="D112" s="425"/>
      <c r="E112" s="432" t="s">
        <v>44</v>
      </c>
      <c r="F112" s="433"/>
      <c r="G112" s="433"/>
      <c r="H112" s="433"/>
      <c r="I112" s="445"/>
      <c r="J112" s="432" t="s">
        <v>395</v>
      </c>
      <c r="K112" s="433"/>
      <c r="L112" s="433"/>
      <c r="M112" s="433"/>
      <c r="N112" s="445"/>
      <c r="O112" s="432" t="s">
        <v>207</v>
      </c>
      <c r="P112" s="433"/>
      <c r="Q112" s="433"/>
      <c r="R112" s="433"/>
      <c r="S112" s="445"/>
      <c r="T112" s="432" t="s">
        <v>113</v>
      </c>
      <c r="U112" s="433"/>
      <c r="V112" s="433"/>
      <c r="W112" s="433"/>
      <c r="X112" s="445"/>
      <c r="Y112" s="449" t="s">
        <v>45</v>
      </c>
      <c r="Z112" s="449"/>
      <c r="AA112" s="449"/>
      <c r="AB112" s="449"/>
      <c r="AC112" s="449"/>
    </row>
    <row r="113" spans="1:33">
      <c r="A113" s="449"/>
      <c r="B113" s="464"/>
      <c r="C113" s="465"/>
      <c r="D113" s="428"/>
      <c r="E113" s="442" t="s">
        <v>117</v>
      </c>
      <c r="F113" s="432" t="s">
        <v>86</v>
      </c>
      <c r="G113" s="433"/>
      <c r="H113" s="433"/>
      <c r="I113" s="445"/>
      <c r="J113" s="442" t="s">
        <v>117</v>
      </c>
      <c r="K113" s="432" t="s">
        <v>86</v>
      </c>
      <c r="L113" s="446"/>
      <c r="M113" s="446"/>
      <c r="N113" s="434"/>
      <c r="O113" s="442" t="s">
        <v>117</v>
      </c>
      <c r="P113" s="432" t="s">
        <v>86</v>
      </c>
      <c r="Q113" s="433"/>
      <c r="R113" s="433"/>
      <c r="S113" s="445"/>
      <c r="T113" s="442" t="s">
        <v>117</v>
      </c>
      <c r="U113" s="432" t="s">
        <v>86</v>
      </c>
      <c r="V113" s="433"/>
      <c r="W113" s="433"/>
      <c r="X113" s="445"/>
      <c r="Y113" s="449" t="s">
        <v>117</v>
      </c>
      <c r="Z113" s="449" t="s">
        <v>86</v>
      </c>
      <c r="AA113" s="449"/>
      <c r="AB113" s="449"/>
      <c r="AC113" s="449"/>
    </row>
    <row r="114" spans="1:33">
      <c r="A114" s="449"/>
      <c r="B114" s="466"/>
      <c r="C114" s="467"/>
      <c r="D114" s="431"/>
      <c r="E114" s="454"/>
      <c r="F114" s="305" t="s">
        <v>253</v>
      </c>
      <c r="G114" s="305" t="s">
        <v>250</v>
      </c>
      <c r="H114" s="305" t="s">
        <v>251</v>
      </c>
      <c r="I114" s="305" t="s">
        <v>252</v>
      </c>
      <c r="J114" s="454"/>
      <c r="K114" s="305" t="s">
        <v>253</v>
      </c>
      <c r="L114" s="305" t="s">
        <v>250</v>
      </c>
      <c r="M114" s="305" t="s">
        <v>251</v>
      </c>
      <c r="N114" s="305" t="s">
        <v>252</v>
      </c>
      <c r="O114" s="454"/>
      <c r="P114" s="305" t="s">
        <v>65</v>
      </c>
      <c r="Q114" s="305" t="s">
        <v>66</v>
      </c>
      <c r="R114" s="305" t="s">
        <v>64</v>
      </c>
      <c r="S114" s="305" t="s">
        <v>61</v>
      </c>
      <c r="T114" s="454"/>
      <c r="U114" s="305" t="s">
        <v>65</v>
      </c>
      <c r="V114" s="305" t="s">
        <v>66</v>
      </c>
      <c r="W114" s="305" t="s">
        <v>64</v>
      </c>
      <c r="X114" s="305" t="s">
        <v>61</v>
      </c>
      <c r="Y114" s="449"/>
      <c r="Z114" s="305" t="s">
        <v>65</v>
      </c>
      <c r="AA114" s="305" t="s">
        <v>66</v>
      </c>
      <c r="AB114" s="305" t="s">
        <v>64</v>
      </c>
      <c r="AC114" s="305" t="s">
        <v>61</v>
      </c>
    </row>
    <row r="115" spans="1:33">
      <c r="A115" s="305">
        <v>1</v>
      </c>
      <c r="B115" s="432">
        <v>2</v>
      </c>
      <c r="C115" s="433"/>
      <c r="D115" s="434"/>
      <c r="E115" s="305">
        <v>3</v>
      </c>
      <c r="F115" s="305">
        <v>4</v>
      </c>
      <c r="G115" s="305">
        <v>5</v>
      </c>
      <c r="H115" s="305">
        <v>6</v>
      </c>
      <c r="I115" s="305">
        <v>7</v>
      </c>
      <c r="J115" s="305">
        <v>8</v>
      </c>
      <c r="K115" s="305">
        <v>9</v>
      </c>
      <c r="L115" s="305">
        <v>10</v>
      </c>
      <c r="M115" s="305">
        <v>11</v>
      </c>
      <c r="N115" s="305">
        <v>12</v>
      </c>
      <c r="O115" s="305">
        <v>13</v>
      </c>
      <c r="P115" s="305">
        <v>14</v>
      </c>
      <c r="Q115" s="305">
        <v>15</v>
      </c>
      <c r="R115" s="305">
        <v>16</v>
      </c>
      <c r="S115" s="305">
        <v>17</v>
      </c>
      <c r="T115" s="305">
        <v>18</v>
      </c>
      <c r="U115" s="305">
        <v>19</v>
      </c>
      <c r="V115" s="302">
        <v>20</v>
      </c>
      <c r="W115" s="302">
        <v>21</v>
      </c>
      <c r="X115" s="302">
        <v>22</v>
      </c>
      <c r="Y115" s="302">
        <v>23</v>
      </c>
      <c r="Z115" s="302">
        <v>24</v>
      </c>
      <c r="AA115" s="302">
        <v>25</v>
      </c>
      <c r="AB115" s="302">
        <v>26</v>
      </c>
      <c r="AC115" s="302">
        <v>27</v>
      </c>
    </row>
    <row r="116" spans="1:33" ht="45.75" customHeight="1">
      <c r="A116" s="309">
        <v>1</v>
      </c>
      <c r="B116" s="458" t="s">
        <v>409</v>
      </c>
      <c r="C116" s="459"/>
      <c r="D116" s="419"/>
      <c r="E116" s="175">
        <f>F116+G116+H116+I116</f>
        <v>0</v>
      </c>
      <c r="F116" s="179"/>
      <c r="G116" s="179"/>
      <c r="H116" s="180"/>
      <c r="I116" s="180"/>
      <c r="J116" s="103">
        <f>K116+L116+M116+N116</f>
        <v>4400</v>
      </c>
      <c r="K116" s="103"/>
      <c r="L116" s="103">
        <f>'4. Кап. інвестиції'!H9</f>
        <v>3000</v>
      </c>
      <c r="M116" s="103">
        <f>'4. Кап. інвестиції'!I9</f>
        <v>1400</v>
      </c>
      <c r="N116" s="103"/>
      <c r="O116" s="181">
        <f>P116+Q116+R116+S116</f>
        <v>16.2</v>
      </c>
      <c r="P116" s="355"/>
      <c r="Q116" s="355"/>
      <c r="R116" s="355"/>
      <c r="S116" s="355">
        <v>16.2</v>
      </c>
      <c r="T116" s="181">
        <f>U116+V116+W116+X116</f>
        <v>0</v>
      </c>
      <c r="U116" s="355"/>
      <c r="V116" s="355"/>
      <c r="W116" s="355"/>
      <c r="X116" s="355"/>
      <c r="Y116" s="112">
        <f t="shared" ref="Y116:AC120" si="3">E116+J116+O116+T116</f>
        <v>4416.2</v>
      </c>
      <c r="Z116" s="356">
        <f t="shared" si="3"/>
        <v>0</v>
      </c>
      <c r="AA116" s="356">
        <f t="shared" si="3"/>
        <v>3000</v>
      </c>
      <c r="AB116" s="356">
        <f t="shared" si="3"/>
        <v>1400</v>
      </c>
      <c r="AC116" s="356">
        <f t="shared" si="3"/>
        <v>16.2</v>
      </c>
    </row>
    <row r="117" spans="1:33">
      <c r="A117" s="309">
        <v>2</v>
      </c>
      <c r="B117" s="458" t="s">
        <v>374</v>
      </c>
      <c r="C117" s="459"/>
      <c r="D117" s="419"/>
      <c r="E117" s="175">
        <f>F117+G117+H117+I117</f>
        <v>0</v>
      </c>
      <c r="F117" s="179"/>
      <c r="G117" s="179"/>
      <c r="H117" s="180"/>
      <c r="I117" s="180"/>
      <c r="J117" s="103">
        <f>K117+L117+M117+N117</f>
        <v>0</v>
      </c>
      <c r="K117" s="103"/>
      <c r="L117" s="103"/>
      <c r="M117" s="103"/>
      <c r="N117" s="103"/>
      <c r="O117" s="181">
        <f>P117+Q117+R117+S117</f>
        <v>0</v>
      </c>
      <c r="P117" s="355"/>
      <c r="Q117" s="355"/>
      <c r="R117" s="355"/>
      <c r="S117" s="355"/>
      <c r="T117" s="181">
        <f>U117+V117+W117+X117</f>
        <v>0</v>
      </c>
      <c r="U117" s="355"/>
      <c r="V117" s="355"/>
      <c r="W117" s="355"/>
      <c r="X117" s="355"/>
      <c r="Y117" s="112">
        <f t="shared" si="3"/>
        <v>0</v>
      </c>
      <c r="Z117" s="356">
        <f t="shared" si="3"/>
        <v>0</v>
      </c>
      <c r="AA117" s="356">
        <f t="shared" si="3"/>
        <v>0</v>
      </c>
      <c r="AB117" s="356">
        <f t="shared" si="3"/>
        <v>0</v>
      </c>
      <c r="AC117" s="356">
        <f t="shared" si="3"/>
        <v>0</v>
      </c>
    </row>
    <row r="118" spans="1:33">
      <c r="A118" s="309"/>
      <c r="B118" s="460"/>
      <c r="C118" s="461"/>
      <c r="D118" s="434"/>
      <c r="E118" s="175">
        <f>F118+G118+H118+I118</f>
        <v>0</v>
      </c>
      <c r="F118" s="179"/>
      <c r="G118" s="179"/>
      <c r="H118" s="180"/>
      <c r="I118" s="180"/>
      <c r="J118" s="103">
        <f>K118+L118+M118+N118</f>
        <v>0</v>
      </c>
      <c r="K118" s="103"/>
      <c r="L118" s="103"/>
      <c r="M118" s="103"/>
      <c r="N118" s="103"/>
      <c r="O118" s="181">
        <f>P118+Q118+R118+S118</f>
        <v>0</v>
      </c>
      <c r="P118" s="355"/>
      <c r="Q118" s="355"/>
      <c r="R118" s="355"/>
      <c r="S118" s="355"/>
      <c r="T118" s="181">
        <f>U118+V118+W118+X118</f>
        <v>0</v>
      </c>
      <c r="U118" s="355"/>
      <c r="V118" s="355"/>
      <c r="W118" s="355"/>
      <c r="X118" s="355"/>
      <c r="Y118" s="112">
        <f t="shared" si="3"/>
        <v>0</v>
      </c>
      <c r="Z118" s="356">
        <f t="shared" si="3"/>
        <v>0</v>
      </c>
      <c r="AA118" s="356">
        <f t="shared" si="3"/>
        <v>0</v>
      </c>
      <c r="AB118" s="356">
        <f t="shared" si="3"/>
        <v>0</v>
      </c>
      <c r="AC118" s="356">
        <f t="shared" si="3"/>
        <v>0</v>
      </c>
    </row>
    <row r="119" spans="1:33">
      <c r="A119" s="309"/>
      <c r="B119" s="460"/>
      <c r="C119" s="461"/>
      <c r="D119" s="434"/>
      <c r="E119" s="175">
        <f>F119+G119+H119+I119</f>
        <v>0</v>
      </c>
      <c r="F119" s="179"/>
      <c r="G119" s="179"/>
      <c r="H119" s="180"/>
      <c r="I119" s="180"/>
      <c r="J119" s="103">
        <f>K119+L119+M119+N119</f>
        <v>0</v>
      </c>
      <c r="K119" s="103"/>
      <c r="L119" s="103"/>
      <c r="M119" s="103"/>
      <c r="N119" s="103"/>
      <c r="O119" s="181">
        <f>P119+Q119+R119+S119</f>
        <v>0</v>
      </c>
      <c r="P119" s="355"/>
      <c r="Q119" s="355"/>
      <c r="R119" s="355"/>
      <c r="S119" s="355"/>
      <c r="T119" s="181">
        <f>U119+V119+W119+X119</f>
        <v>0</v>
      </c>
      <c r="U119" s="355"/>
      <c r="V119" s="355"/>
      <c r="W119" s="355"/>
      <c r="X119" s="355"/>
      <c r="Y119" s="112">
        <f t="shared" si="3"/>
        <v>0</v>
      </c>
      <c r="Z119" s="356">
        <f t="shared" si="3"/>
        <v>0</v>
      </c>
      <c r="AA119" s="356">
        <f t="shared" si="3"/>
        <v>0</v>
      </c>
      <c r="AB119" s="356">
        <f t="shared" si="3"/>
        <v>0</v>
      </c>
      <c r="AC119" s="356">
        <f t="shared" si="3"/>
        <v>0</v>
      </c>
    </row>
    <row r="120" spans="1:33" s="124" customFormat="1">
      <c r="A120" s="357" t="s">
        <v>45</v>
      </c>
      <c r="B120" s="420"/>
      <c r="C120" s="421"/>
      <c r="D120" s="422"/>
      <c r="E120" s="358">
        <f>SUM(E116:E119)</f>
        <v>0</v>
      </c>
      <c r="F120" s="357"/>
      <c r="G120" s="357"/>
      <c r="H120" s="359"/>
      <c r="I120" s="359"/>
      <c r="J120" s="90">
        <f>SUM(J116:J119)</f>
        <v>4400</v>
      </c>
      <c r="K120" s="90">
        <f t="shared" ref="K120:N120" si="4">SUM(K116:K119)</f>
        <v>0</v>
      </c>
      <c r="L120" s="90">
        <f t="shared" si="4"/>
        <v>3000</v>
      </c>
      <c r="M120" s="90">
        <f t="shared" si="4"/>
        <v>1400</v>
      </c>
      <c r="N120" s="90">
        <f t="shared" si="4"/>
        <v>0</v>
      </c>
      <c r="O120" s="340">
        <f t="shared" ref="O120:X120" si="5">SUM(O116:O119)</f>
        <v>16.2</v>
      </c>
      <c r="P120" s="340">
        <f t="shared" si="5"/>
        <v>0</v>
      </c>
      <c r="Q120" s="340">
        <f t="shared" si="5"/>
        <v>0</v>
      </c>
      <c r="R120" s="340">
        <f t="shared" si="5"/>
        <v>0</v>
      </c>
      <c r="S120" s="340">
        <f t="shared" si="5"/>
        <v>16.2</v>
      </c>
      <c r="T120" s="340">
        <f t="shared" si="5"/>
        <v>0</v>
      </c>
      <c r="U120" s="340">
        <f t="shared" si="5"/>
        <v>0</v>
      </c>
      <c r="V120" s="340">
        <f t="shared" si="5"/>
        <v>0</v>
      </c>
      <c r="W120" s="340">
        <f t="shared" si="5"/>
        <v>0</v>
      </c>
      <c r="X120" s="340">
        <f t="shared" si="5"/>
        <v>0</v>
      </c>
      <c r="Y120" s="340">
        <f t="shared" si="3"/>
        <v>4416.2</v>
      </c>
      <c r="Z120" s="360">
        <f t="shared" si="3"/>
        <v>0</v>
      </c>
      <c r="AA120" s="360">
        <f t="shared" si="3"/>
        <v>3000</v>
      </c>
      <c r="AB120" s="360">
        <f t="shared" si="3"/>
        <v>1400</v>
      </c>
      <c r="AC120" s="360">
        <f t="shared" si="3"/>
        <v>16.2</v>
      </c>
    </row>
    <row r="121" spans="1:33">
      <c r="A121" s="121" t="s">
        <v>46</v>
      </c>
      <c r="B121" s="417"/>
      <c r="C121" s="418"/>
      <c r="D121" s="419"/>
      <c r="E121" s="121"/>
      <c r="F121" s="121"/>
      <c r="G121" s="305">
        <f>G120/Y120*100</f>
        <v>0</v>
      </c>
      <c r="H121" s="183"/>
      <c r="I121" s="183"/>
      <c r="J121" s="106">
        <f>J120/Y120*100</f>
        <v>99.633168787645488</v>
      </c>
      <c r="K121" s="106">
        <f>K120/Y120*100</f>
        <v>0</v>
      </c>
      <c r="L121" s="106">
        <f>L120/Y120*100</f>
        <v>67.931705991576479</v>
      </c>
      <c r="M121" s="106">
        <f>M120/Y120*100</f>
        <v>31.70146279606902</v>
      </c>
      <c r="N121" s="106">
        <f>N120/Y120*100</f>
        <v>0</v>
      </c>
      <c r="O121" s="274">
        <f>O120/Y120*100</f>
        <v>0.36683121235451294</v>
      </c>
      <c r="P121" s="274">
        <f>P120/Y120*100</f>
        <v>0</v>
      </c>
      <c r="Q121" s="274">
        <f>Q120/Y120*100</f>
        <v>0</v>
      </c>
      <c r="R121" s="274">
        <f>R120/Y120*100</f>
        <v>0</v>
      </c>
      <c r="S121" s="274">
        <f>S120/Y120*100</f>
        <v>0.36683121235451294</v>
      </c>
      <c r="T121" s="274">
        <f>T120/Y120*100</f>
        <v>0</v>
      </c>
      <c r="U121" s="274">
        <f>U120/Y120*100</f>
        <v>0</v>
      </c>
      <c r="V121" s="274">
        <f>V120/Y120*100</f>
        <v>0</v>
      </c>
      <c r="W121" s="274">
        <f>W120/Y120*100</f>
        <v>0</v>
      </c>
      <c r="X121" s="274">
        <f>X120/Y120*100</f>
        <v>0</v>
      </c>
      <c r="Y121" s="274">
        <v>100</v>
      </c>
      <c r="Z121" s="274">
        <f>Z120/Y120*100</f>
        <v>0</v>
      </c>
      <c r="AA121" s="274">
        <f>AA120/Y120*100</f>
        <v>67.931705991576479</v>
      </c>
      <c r="AB121" s="274">
        <f>AB120/Y120*100</f>
        <v>31.70146279606902</v>
      </c>
      <c r="AC121" s="274">
        <f>AC120/Y120*100</f>
        <v>0.36683121235451294</v>
      </c>
    </row>
    <row r="122" spans="1:33" ht="18.75" customHeight="1">
      <c r="F122" s="496"/>
      <c r="G122" s="497"/>
      <c r="H122" s="497"/>
      <c r="I122" s="497"/>
    </row>
    <row r="123" spans="1:33">
      <c r="A123" s="124" t="s">
        <v>269</v>
      </c>
    </row>
    <row r="124" spans="1:33">
      <c r="A124" s="124"/>
      <c r="U124" s="122" t="s">
        <v>283</v>
      </c>
    </row>
    <row r="125" spans="1:33" ht="18.75" customHeight="1">
      <c r="A125" s="452" t="s">
        <v>40</v>
      </c>
      <c r="B125" s="423" t="s">
        <v>273</v>
      </c>
      <c r="C125" s="424"/>
      <c r="D125" s="425"/>
      <c r="E125" s="442" t="s">
        <v>274</v>
      </c>
      <c r="F125" s="442" t="s">
        <v>275</v>
      </c>
      <c r="G125" s="442" t="s">
        <v>270</v>
      </c>
      <c r="H125" s="442" t="s">
        <v>271</v>
      </c>
      <c r="I125" s="432" t="s">
        <v>117</v>
      </c>
      <c r="J125" s="433"/>
      <c r="K125" s="433"/>
      <c r="L125" s="433"/>
      <c r="M125" s="445"/>
      <c r="N125" s="423" t="s">
        <v>276</v>
      </c>
      <c r="O125" s="483"/>
      <c r="P125" s="425"/>
      <c r="Q125" s="449" t="s">
        <v>277</v>
      </c>
      <c r="R125" s="449"/>
      <c r="S125" s="449"/>
      <c r="T125" s="449"/>
      <c r="U125" s="449"/>
      <c r="V125" s="449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</row>
    <row r="126" spans="1:33">
      <c r="A126" s="452"/>
      <c r="B126" s="426"/>
      <c r="C126" s="427"/>
      <c r="D126" s="428"/>
      <c r="E126" s="453"/>
      <c r="F126" s="453"/>
      <c r="G126" s="453"/>
      <c r="H126" s="453"/>
      <c r="I126" s="442" t="s">
        <v>272</v>
      </c>
      <c r="J126" s="442" t="s">
        <v>278</v>
      </c>
      <c r="K126" s="432" t="s">
        <v>282</v>
      </c>
      <c r="L126" s="446"/>
      <c r="M126" s="434"/>
      <c r="N126" s="464"/>
      <c r="O126" s="498"/>
      <c r="P126" s="428"/>
      <c r="Q126" s="449"/>
      <c r="R126" s="449"/>
      <c r="S126" s="449"/>
      <c r="T126" s="449"/>
      <c r="U126" s="449"/>
      <c r="V126" s="449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</row>
    <row r="127" spans="1:33" ht="129.75" customHeight="1">
      <c r="A127" s="452"/>
      <c r="B127" s="429"/>
      <c r="C127" s="430"/>
      <c r="D127" s="431"/>
      <c r="E127" s="454"/>
      <c r="F127" s="454"/>
      <c r="G127" s="454"/>
      <c r="H127" s="454"/>
      <c r="I127" s="454"/>
      <c r="J127" s="454"/>
      <c r="K127" s="306" t="s">
        <v>279</v>
      </c>
      <c r="L127" s="305" t="s">
        <v>280</v>
      </c>
      <c r="M127" s="305" t="s">
        <v>281</v>
      </c>
      <c r="N127" s="466"/>
      <c r="O127" s="467"/>
      <c r="P127" s="431"/>
      <c r="Q127" s="449"/>
      <c r="R127" s="449"/>
      <c r="S127" s="449"/>
      <c r="T127" s="449"/>
      <c r="U127" s="449"/>
      <c r="V127" s="449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</row>
    <row r="128" spans="1:33">
      <c r="A128" s="302">
        <v>1</v>
      </c>
      <c r="B128" s="432">
        <v>2</v>
      </c>
      <c r="C128" s="433"/>
      <c r="D128" s="434"/>
      <c r="E128" s="305">
        <v>3</v>
      </c>
      <c r="F128" s="305">
        <v>4</v>
      </c>
      <c r="G128" s="305">
        <v>5</v>
      </c>
      <c r="H128" s="305">
        <v>6</v>
      </c>
      <c r="I128" s="305">
        <v>7</v>
      </c>
      <c r="J128" s="305">
        <v>8</v>
      </c>
      <c r="K128" s="305">
        <v>9</v>
      </c>
      <c r="L128" s="305">
        <v>10</v>
      </c>
      <c r="M128" s="305">
        <v>11</v>
      </c>
      <c r="N128" s="432">
        <v>12</v>
      </c>
      <c r="O128" s="446"/>
      <c r="P128" s="434"/>
      <c r="Q128" s="432">
        <v>13</v>
      </c>
      <c r="R128" s="433"/>
      <c r="S128" s="450"/>
      <c r="T128" s="450"/>
      <c r="U128" s="450"/>
      <c r="V128" s="451"/>
      <c r="W128" s="300"/>
      <c r="X128" s="300"/>
      <c r="Y128" s="300"/>
      <c r="Z128" s="300"/>
      <c r="AA128" s="300"/>
      <c r="AB128" s="300"/>
      <c r="AC128" s="300"/>
      <c r="AD128" s="300"/>
      <c r="AE128" s="300"/>
      <c r="AF128" s="300"/>
      <c r="AG128" s="300"/>
    </row>
    <row r="129" spans="1:33" ht="18.75" customHeight="1">
      <c r="A129" s="309"/>
      <c r="B129" s="435"/>
      <c r="C129" s="436"/>
      <c r="D129" s="419"/>
      <c r="E129" s="309"/>
      <c r="F129" s="309"/>
      <c r="G129" s="309"/>
      <c r="H129" s="309"/>
      <c r="I129" s="309"/>
      <c r="J129" s="309"/>
      <c r="K129" s="309"/>
      <c r="L129" s="309"/>
      <c r="M129" s="309"/>
      <c r="N129" s="447"/>
      <c r="O129" s="446"/>
      <c r="P129" s="434"/>
      <c r="Q129" s="447"/>
      <c r="R129" s="448"/>
      <c r="S129" s="446"/>
      <c r="T129" s="446"/>
      <c r="U129" s="446"/>
      <c r="V129" s="434"/>
      <c r="W129" s="361"/>
      <c r="X129" s="361"/>
      <c r="Y129" s="361"/>
      <c r="Z129" s="361"/>
      <c r="AA129" s="361"/>
      <c r="AB129" s="362"/>
      <c r="AC129" s="362"/>
      <c r="AD129" s="362"/>
      <c r="AE129" s="362"/>
      <c r="AF129" s="362"/>
      <c r="AG129" s="362"/>
    </row>
    <row r="130" spans="1:33">
      <c r="A130" s="309"/>
      <c r="B130" s="435"/>
      <c r="C130" s="436"/>
      <c r="D130" s="419"/>
      <c r="E130" s="309"/>
      <c r="F130" s="309"/>
      <c r="G130" s="309"/>
      <c r="H130" s="309"/>
      <c r="I130" s="309"/>
      <c r="J130" s="309"/>
      <c r="K130" s="309"/>
      <c r="L130" s="309"/>
      <c r="M130" s="309"/>
      <c r="N130" s="447"/>
      <c r="O130" s="446"/>
      <c r="P130" s="434"/>
      <c r="Q130" s="447"/>
      <c r="R130" s="448"/>
      <c r="S130" s="446"/>
      <c r="T130" s="446"/>
      <c r="U130" s="446"/>
      <c r="V130" s="434"/>
      <c r="W130" s="361"/>
      <c r="X130" s="361"/>
      <c r="Y130" s="361"/>
      <c r="Z130" s="361"/>
      <c r="AA130" s="361"/>
      <c r="AB130" s="362"/>
      <c r="AC130" s="362"/>
      <c r="AD130" s="362"/>
      <c r="AE130" s="362"/>
      <c r="AF130" s="362"/>
      <c r="AG130" s="362"/>
    </row>
    <row r="131" spans="1:33">
      <c r="A131" s="121" t="s">
        <v>45</v>
      </c>
      <c r="B131" s="417"/>
      <c r="C131" s="418"/>
      <c r="D131" s="419"/>
      <c r="E131" s="121"/>
      <c r="F131" s="121"/>
      <c r="G131" s="305"/>
      <c r="H131" s="305"/>
      <c r="I131" s="305"/>
      <c r="J131" s="305"/>
      <c r="K131" s="305"/>
      <c r="L131" s="305"/>
      <c r="M131" s="305"/>
      <c r="N131" s="432"/>
      <c r="O131" s="446"/>
      <c r="P131" s="434"/>
      <c r="Q131" s="432"/>
      <c r="R131" s="433"/>
      <c r="S131" s="446"/>
      <c r="T131" s="446"/>
      <c r="U131" s="446"/>
      <c r="V131" s="434"/>
      <c r="W131" s="361"/>
      <c r="X131" s="361"/>
      <c r="Y131" s="361"/>
      <c r="Z131" s="361"/>
      <c r="AA131" s="361"/>
      <c r="AB131" s="362"/>
      <c r="AC131" s="362"/>
      <c r="AD131" s="362"/>
      <c r="AE131" s="362"/>
      <c r="AF131" s="362"/>
      <c r="AG131" s="362"/>
    </row>
    <row r="134" spans="1:33" s="120" customFormat="1" ht="54" customHeight="1">
      <c r="A134" s="363" t="s">
        <v>415</v>
      </c>
      <c r="B134" s="364"/>
      <c r="C134" s="489" t="s">
        <v>191</v>
      </c>
      <c r="D134" s="489"/>
      <c r="E134" s="489"/>
      <c r="F134" s="489"/>
      <c r="G134" s="365"/>
      <c r="H134" s="499" t="s">
        <v>416</v>
      </c>
      <c r="I134" s="499"/>
      <c r="J134" s="499"/>
    </row>
    <row r="135" spans="1:33" ht="42.75" customHeight="1">
      <c r="A135" s="366" t="s">
        <v>353</v>
      </c>
      <c r="B135" s="120"/>
      <c r="C135" s="491" t="s">
        <v>228</v>
      </c>
      <c r="D135" s="491"/>
      <c r="E135" s="491"/>
      <c r="F135" s="491"/>
      <c r="G135" s="186"/>
      <c r="H135" s="495" t="s">
        <v>89</v>
      </c>
      <c r="I135" s="495"/>
      <c r="J135" s="495"/>
    </row>
  </sheetData>
  <mergeCells count="173">
    <mergeCell ref="C135:F135"/>
    <mergeCell ref="F39:G39"/>
    <mergeCell ref="G72:H72"/>
    <mergeCell ref="E72:F72"/>
    <mergeCell ref="A2:I2"/>
    <mergeCell ref="A4:I4"/>
    <mergeCell ref="A3:I3"/>
    <mergeCell ref="F33:G33"/>
    <mergeCell ref="F31:G31"/>
    <mergeCell ref="F32:G32"/>
    <mergeCell ref="H14:I14"/>
    <mergeCell ref="H135:J135"/>
    <mergeCell ref="F122:I122"/>
    <mergeCell ref="H17:I17"/>
    <mergeCell ref="H25:I25"/>
    <mergeCell ref="H27:I27"/>
    <mergeCell ref="H30:I30"/>
    <mergeCell ref="H31:I31"/>
    <mergeCell ref="F113:I113"/>
    <mergeCell ref="I73:K73"/>
    <mergeCell ref="J112:N112"/>
    <mergeCell ref="K126:M126"/>
    <mergeCell ref="N125:P127"/>
    <mergeCell ref="H134:J134"/>
    <mergeCell ref="J126:J127"/>
    <mergeCell ref="C134:F134"/>
    <mergeCell ref="H15:I15"/>
    <mergeCell ref="H16:I16"/>
    <mergeCell ref="H88:L88"/>
    <mergeCell ref="H18:I18"/>
    <mergeCell ref="H26:I26"/>
    <mergeCell ref="H24:I24"/>
    <mergeCell ref="H28:I28"/>
    <mergeCell ref="H20:I20"/>
    <mergeCell ref="H21:I21"/>
    <mergeCell ref="H29:I29"/>
    <mergeCell ref="H33:I33"/>
    <mergeCell ref="H32:I32"/>
    <mergeCell ref="H22:I22"/>
    <mergeCell ref="F29:G29"/>
    <mergeCell ref="F30:G30"/>
    <mergeCell ref="F26:G26"/>
    <mergeCell ref="F25:G25"/>
    <mergeCell ref="E73:F73"/>
    <mergeCell ref="B65:D65"/>
    <mergeCell ref="H39:I39"/>
    <mergeCell ref="J39:K39"/>
    <mergeCell ref="I63:K63"/>
    <mergeCell ref="A39:A40"/>
    <mergeCell ref="F15:G15"/>
    <mergeCell ref="F24:G24"/>
    <mergeCell ref="F16:G16"/>
    <mergeCell ref="F17:G17"/>
    <mergeCell ref="F18:G18"/>
    <mergeCell ref="B39:C39"/>
    <mergeCell ref="D39:E39"/>
    <mergeCell ref="F28:G28"/>
    <mergeCell ref="F27:G27"/>
    <mergeCell ref="F20:G20"/>
    <mergeCell ref="F11:G11"/>
    <mergeCell ref="F19:G19"/>
    <mergeCell ref="F23:G23"/>
    <mergeCell ref="F21:G21"/>
    <mergeCell ref="F22:G22"/>
    <mergeCell ref="H9:I9"/>
    <mergeCell ref="H10:I10"/>
    <mergeCell ref="A1:I1"/>
    <mergeCell ref="F14:G14"/>
    <mergeCell ref="F13:G13"/>
    <mergeCell ref="F9:G9"/>
    <mergeCell ref="F10:G10"/>
    <mergeCell ref="H11:I11"/>
    <mergeCell ref="H12:I12"/>
    <mergeCell ref="H13:I13"/>
    <mergeCell ref="H19:I19"/>
    <mergeCell ref="H23:I23"/>
    <mergeCell ref="F12:G12"/>
    <mergeCell ref="I64:K64"/>
    <mergeCell ref="I65:K65"/>
    <mergeCell ref="I66:K66"/>
    <mergeCell ref="Y112:AC112"/>
    <mergeCell ref="O112:S112"/>
    <mergeCell ref="I72:K72"/>
    <mergeCell ref="G73:H73"/>
    <mergeCell ref="I67:K67"/>
    <mergeCell ref="I68:K68"/>
    <mergeCell ref="Z113:AC113"/>
    <mergeCell ref="G88:G89"/>
    <mergeCell ref="Y113:Y114"/>
    <mergeCell ref="P113:S113"/>
    <mergeCell ref="T113:T114"/>
    <mergeCell ref="U113:X113"/>
    <mergeCell ref="K113:N113"/>
    <mergeCell ref="E112:I112"/>
    <mergeCell ref="A88:A89"/>
    <mergeCell ref="A99:A101"/>
    <mergeCell ref="E99:E101"/>
    <mergeCell ref="F99:F101"/>
    <mergeCell ref="E88:E89"/>
    <mergeCell ref="B95:D95"/>
    <mergeCell ref="B99:D101"/>
    <mergeCell ref="F88:F89"/>
    <mergeCell ref="B88:D89"/>
    <mergeCell ref="B90:D90"/>
    <mergeCell ref="W111:AC111"/>
    <mergeCell ref="O113:O114"/>
    <mergeCell ref="J113:J114"/>
    <mergeCell ref="A125:A127"/>
    <mergeCell ref="A86:K86"/>
    <mergeCell ref="A112:A114"/>
    <mergeCell ref="I125:M125"/>
    <mergeCell ref="E125:E127"/>
    <mergeCell ref="F125:F127"/>
    <mergeCell ref="G125:G127"/>
    <mergeCell ref="H125:H127"/>
    <mergeCell ref="B91:D91"/>
    <mergeCell ref="B92:D92"/>
    <mergeCell ref="B103:D103"/>
    <mergeCell ref="B104:D104"/>
    <mergeCell ref="B105:D105"/>
    <mergeCell ref="B116:D116"/>
    <mergeCell ref="A110:G110"/>
    <mergeCell ref="B117:D117"/>
    <mergeCell ref="B118:D118"/>
    <mergeCell ref="E113:E114"/>
    <mergeCell ref="B106:D106"/>
    <mergeCell ref="B107:D107"/>
    <mergeCell ref="B112:D114"/>
    <mergeCell ref="B115:D115"/>
    <mergeCell ref="B119:D119"/>
    <mergeCell ref="I126:I127"/>
    <mergeCell ref="Q130:V130"/>
    <mergeCell ref="Q131:V131"/>
    <mergeCell ref="T112:X112"/>
    <mergeCell ref="N129:P129"/>
    <mergeCell ref="Q125:V127"/>
    <mergeCell ref="Q128:V128"/>
    <mergeCell ref="Q129:V129"/>
    <mergeCell ref="N131:P131"/>
    <mergeCell ref="N130:P130"/>
    <mergeCell ref="N128:P128"/>
    <mergeCell ref="B68:D68"/>
    <mergeCell ref="B72:D72"/>
    <mergeCell ref="B73:D73"/>
    <mergeCell ref="B74:D74"/>
    <mergeCell ref="B75:D75"/>
    <mergeCell ref="B63:D63"/>
    <mergeCell ref="B64:D64"/>
    <mergeCell ref="B66:D66"/>
    <mergeCell ref="B67:D67"/>
    <mergeCell ref="B77:D77"/>
    <mergeCell ref="B76:D76"/>
    <mergeCell ref="B78:D78"/>
    <mergeCell ref="B93:D93"/>
    <mergeCell ref="B94:D94"/>
    <mergeCell ref="B102:D102"/>
    <mergeCell ref="B82:D82"/>
    <mergeCell ref="B83:D83"/>
    <mergeCell ref="A97:I97"/>
    <mergeCell ref="G99:G101"/>
    <mergeCell ref="H99:L99"/>
    <mergeCell ref="H100:H101"/>
    <mergeCell ref="I100:L100"/>
    <mergeCell ref="B131:D131"/>
    <mergeCell ref="B120:D120"/>
    <mergeCell ref="B121:D121"/>
    <mergeCell ref="B125:D127"/>
    <mergeCell ref="B128:D128"/>
    <mergeCell ref="B129:D129"/>
    <mergeCell ref="B130:D130"/>
    <mergeCell ref="B79:D79"/>
    <mergeCell ref="B80:D80"/>
    <mergeCell ref="B81:D81"/>
  </mergeCells>
  <phoneticPr fontId="3" type="noConversion"/>
  <pageMargins left="0.39370078740157483" right="0" top="0.39370078740157483" bottom="0.19685039370078741" header="0.27559055118110237" footer="0.15748031496062992"/>
  <pageSetup paperSize="9" scale="36" fitToHeight="4" orientation="landscape" horizontalDpi="1200" verticalDpi="1200" r:id="rId1"/>
  <headerFooter alignWithMargins="0">
    <oddHeader xml:space="preserve">&amp;C&amp;"Times New Roman,обычный"&amp;14 
13
&amp;R
&amp;"Times New Roman,обычный"&amp;14Продовження додатка 1
</oddHeader>
  </headerFooter>
  <rowBreaks count="1" manualBreakCount="1">
    <brk id="96" max="2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130"/>
  <sheetViews>
    <sheetView topLeftCell="A85" zoomScale="70" zoomScaleNormal="70" workbookViewId="0">
      <selection activeCell="A5" sqref="A5:I5"/>
    </sheetView>
  </sheetViews>
  <sheetFormatPr defaultColWidth="18.140625" defaultRowHeight="18.75"/>
  <cols>
    <col min="1" max="1" width="54.7109375" style="122" customWidth="1"/>
    <col min="2" max="2" width="18.140625" style="151" customWidth="1"/>
    <col min="3" max="3" width="16" style="151" customWidth="1"/>
    <col min="4" max="4" width="18.140625" style="151" hidden="1" customWidth="1"/>
    <col min="5" max="5" width="21.85546875" style="122" customWidth="1"/>
    <col min="6" max="6" width="12.85546875" style="122" customWidth="1"/>
    <col min="7" max="7" width="12.5703125" style="122" customWidth="1"/>
    <col min="8" max="8" width="11" style="122" customWidth="1"/>
    <col min="9" max="9" width="13.42578125" style="122" customWidth="1"/>
    <col min="10" max="10" width="15" style="122" customWidth="1"/>
    <col min="11" max="11" width="15.7109375" style="122" customWidth="1"/>
    <col min="12" max="12" width="7" style="2" customWidth="1"/>
    <col min="13" max="13" width="5.42578125" style="2" customWidth="1"/>
    <col min="14" max="14" width="7.28515625" style="2" customWidth="1"/>
    <col min="15" max="15" width="16.28515625" style="2" customWidth="1"/>
    <col min="16" max="16" width="6.5703125" style="2" customWidth="1"/>
    <col min="17" max="17" width="7.85546875" style="2" customWidth="1"/>
    <col min="18" max="18" width="7.5703125" style="2" customWidth="1"/>
    <col min="19" max="19" width="7.28515625" style="2" customWidth="1"/>
    <col min="20" max="20" width="14.42578125" style="2" customWidth="1"/>
    <col min="21" max="21" width="9.140625" style="2" customWidth="1"/>
    <col min="22" max="23" width="8.5703125" style="2" customWidth="1"/>
    <col min="24" max="24" width="7.5703125" style="2" customWidth="1"/>
    <col min="25" max="25" width="15.28515625" style="2" customWidth="1"/>
    <col min="26" max="26" width="7.5703125" style="2" customWidth="1"/>
    <col min="27" max="27" width="9.7109375" style="2" customWidth="1"/>
    <col min="28" max="28" width="8.85546875" style="2" customWidth="1"/>
    <col min="29" max="29" width="9.7109375" style="2" customWidth="1"/>
    <col min="30" max="16384" width="18.140625" style="2"/>
  </cols>
  <sheetData>
    <row r="4" spans="1:15">
      <c r="A4" s="486" t="s">
        <v>108</v>
      </c>
      <c r="B4" s="486"/>
      <c r="C4" s="486"/>
      <c r="D4" s="486"/>
      <c r="E4" s="486"/>
      <c r="F4" s="486"/>
      <c r="G4" s="486"/>
      <c r="H4" s="486"/>
      <c r="I4" s="486"/>
      <c r="J4" s="191"/>
      <c r="K4" s="191"/>
      <c r="L4" s="92"/>
      <c r="M4" s="92"/>
      <c r="N4" s="92"/>
      <c r="O4" s="92"/>
    </row>
    <row r="5" spans="1:15">
      <c r="A5" s="486" t="s">
        <v>342</v>
      </c>
      <c r="B5" s="486"/>
      <c r="C5" s="486"/>
      <c r="D5" s="486"/>
      <c r="E5" s="486"/>
      <c r="F5" s="486"/>
      <c r="G5" s="486"/>
      <c r="H5" s="486"/>
      <c r="I5" s="486"/>
      <c r="J5" s="191"/>
      <c r="K5" s="191"/>
      <c r="L5" s="92"/>
      <c r="M5" s="92"/>
      <c r="N5" s="92"/>
      <c r="O5" s="92"/>
    </row>
    <row r="6" spans="1:15">
      <c r="A6" s="494" t="s">
        <v>344</v>
      </c>
      <c r="B6" s="494"/>
      <c r="C6" s="494"/>
      <c r="D6" s="494"/>
      <c r="E6" s="494"/>
      <c r="F6" s="494"/>
      <c r="G6" s="494"/>
      <c r="H6" s="494"/>
      <c r="I6" s="494"/>
      <c r="J6" s="188"/>
      <c r="K6" s="188"/>
      <c r="L6" s="21"/>
      <c r="M6" s="21"/>
      <c r="N6" s="21"/>
      <c r="O6" s="21"/>
    </row>
    <row r="7" spans="1:15" ht="20.100000000000001" customHeight="1">
      <c r="A7" s="493" t="s">
        <v>115</v>
      </c>
      <c r="B7" s="493"/>
      <c r="C7" s="493"/>
      <c r="D7" s="493"/>
      <c r="E7" s="493"/>
      <c r="F7" s="493"/>
      <c r="G7" s="493"/>
      <c r="H7" s="493"/>
      <c r="I7" s="493"/>
      <c r="J7" s="192"/>
      <c r="K7" s="192"/>
      <c r="L7" s="54"/>
      <c r="M7" s="54"/>
      <c r="N7" s="54"/>
      <c r="O7" s="54"/>
    </row>
    <row r="8" spans="1:15" ht="21.95" customHeight="1">
      <c r="A8" s="117" t="s">
        <v>79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5"/>
      <c r="M8" s="5"/>
      <c r="N8" s="5"/>
      <c r="O8" s="5"/>
    </row>
    <row r="9" spans="1:15" ht="16.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63"/>
      <c r="M9" s="63"/>
      <c r="N9" s="63"/>
      <c r="O9" s="63"/>
    </row>
    <row r="10" spans="1:15" ht="18.75" customHeight="1">
      <c r="A10" s="122" t="s">
        <v>231</v>
      </c>
      <c r="B10" s="122"/>
      <c r="C10" s="122"/>
      <c r="D10" s="122"/>
    </row>
    <row r="11" spans="1:15" ht="18.7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64"/>
      <c r="M11" s="64"/>
      <c r="N11" s="64"/>
      <c r="O11" s="64"/>
    </row>
    <row r="12" spans="1:15" s="3" customFormat="1" ht="69.95" customHeight="1">
      <c r="A12" s="190" t="s">
        <v>197</v>
      </c>
      <c r="B12" s="187" t="s">
        <v>17</v>
      </c>
      <c r="C12" s="187" t="s">
        <v>289</v>
      </c>
      <c r="D12" s="187" t="s">
        <v>284</v>
      </c>
      <c r="E12" s="187" t="s">
        <v>245</v>
      </c>
      <c r="F12" s="449" t="s">
        <v>286</v>
      </c>
      <c r="G12" s="449"/>
      <c r="H12" s="449" t="s">
        <v>290</v>
      </c>
      <c r="I12" s="449"/>
      <c r="J12" s="141"/>
      <c r="K12" s="142"/>
      <c r="L12" s="134"/>
      <c r="M12" s="25"/>
      <c r="N12" s="21"/>
      <c r="O12" s="21"/>
    </row>
    <row r="13" spans="1:15" s="3" customFormat="1" ht="18" customHeight="1">
      <c r="A13" s="190">
        <v>1</v>
      </c>
      <c r="B13" s="190">
        <v>2</v>
      </c>
      <c r="C13" s="190">
        <v>3</v>
      </c>
      <c r="D13" s="190">
        <v>4</v>
      </c>
      <c r="E13" s="190">
        <v>5</v>
      </c>
      <c r="F13" s="449">
        <v>6</v>
      </c>
      <c r="G13" s="449"/>
      <c r="H13" s="449">
        <v>7</v>
      </c>
      <c r="I13" s="501"/>
      <c r="J13" s="120"/>
      <c r="K13" s="120"/>
      <c r="M13" s="25"/>
      <c r="N13" s="21"/>
      <c r="O13" s="21"/>
    </row>
    <row r="14" spans="1:15" s="3" customFormat="1" ht="35.25" customHeight="1">
      <c r="A14" s="189" t="s">
        <v>116</v>
      </c>
      <c r="B14" s="189">
        <f>B15+B16+B17+B18+B19+B20</f>
        <v>182</v>
      </c>
      <c r="C14" s="189">
        <f>C15+C16+C17+C18+C19+C20</f>
        <v>182</v>
      </c>
      <c r="D14" s="189">
        <f>D15+D16+D17+D18+D19+D20</f>
        <v>162</v>
      </c>
      <c r="E14" s="189">
        <f>E15+E16+E17+E18+E19+E20</f>
        <v>162</v>
      </c>
      <c r="F14" s="500">
        <f>E14/D14*100</f>
        <v>100</v>
      </c>
      <c r="G14" s="500"/>
      <c r="H14" s="500">
        <f>E14/B14*100</f>
        <v>89.010989010989007</v>
      </c>
      <c r="I14" s="500"/>
      <c r="J14" s="120"/>
      <c r="K14" s="120"/>
      <c r="M14" s="25"/>
      <c r="N14" s="105"/>
      <c r="O14" s="105"/>
    </row>
    <row r="15" spans="1:15" s="3" customFormat="1" ht="20.100000000000001" customHeight="1">
      <c r="A15" s="121" t="s">
        <v>214</v>
      </c>
      <c r="B15" s="121">
        <v>6</v>
      </c>
      <c r="C15" s="121">
        <v>6</v>
      </c>
      <c r="D15" s="121">
        <f>C15</f>
        <v>6</v>
      </c>
      <c r="E15" s="121">
        <f>D15</f>
        <v>6</v>
      </c>
      <c r="F15" s="500">
        <f t="shared" ref="F15:F36" si="0">E15/D15*100</f>
        <v>100</v>
      </c>
      <c r="G15" s="500"/>
      <c r="H15" s="500">
        <f t="shared" ref="H15:H36" si="1">E15/B15*100</f>
        <v>100</v>
      </c>
      <c r="I15" s="500"/>
      <c r="J15" s="143"/>
      <c r="K15" s="142"/>
      <c r="L15" s="25"/>
      <c r="M15" s="25"/>
      <c r="N15" s="105"/>
      <c r="O15" s="105"/>
    </row>
    <row r="16" spans="1:15" s="3" customFormat="1" ht="20.100000000000001" customHeight="1">
      <c r="A16" s="121" t="s">
        <v>215</v>
      </c>
      <c r="B16" s="121">
        <v>52</v>
      </c>
      <c r="C16" s="121">
        <v>52</v>
      </c>
      <c r="D16" s="121">
        <v>51</v>
      </c>
      <c r="E16" s="121">
        <f>D16</f>
        <v>51</v>
      </c>
      <c r="F16" s="500">
        <f t="shared" si="0"/>
        <v>100</v>
      </c>
      <c r="G16" s="500"/>
      <c r="H16" s="500">
        <f t="shared" si="1"/>
        <v>98.076923076923066</v>
      </c>
      <c r="I16" s="500"/>
      <c r="J16" s="143"/>
      <c r="K16" s="142"/>
      <c r="L16" s="25"/>
      <c r="M16" s="25"/>
      <c r="N16" s="105"/>
      <c r="O16" s="105"/>
    </row>
    <row r="17" spans="1:15" s="3" customFormat="1" ht="20.100000000000001" customHeight="1">
      <c r="A17" s="121" t="s">
        <v>216</v>
      </c>
      <c r="B17" s="121">
        <v>89</v>
      </c>
      <c r="C17" s="121">
        <v>89</v>
      </c>
      <c r="D17" s="121">
        <v>85</v>
      </c>
      <c r="E17" s="121">
        <f>D17</f>
        <v>85</v>
      </c>
      <c r="F17" s="500">
        <f t="shared" si="0"/>
        <v>100</v>
      </c>
      <c r="G17" s="500"/>
      <c r="H17" s="500">
        <f t="shared" si="1"/>
        <v>95.50561797752809</v>
      </c>
      <c r="I17" s="500"/>
      <c r="J17" s="143"/>
      <c r="K17" s="142"/>
      <c r="L17" s="25"/>
      <c r="M17" s="25"/>
      <c r="N17" s="105"/>
      <c r="O17" s="105"/>
    </row>
    <row r="18" spans="1:15" s="3" customFormat="1" ht="20.100000000000001" customHeight="1">
      <c r="A18" s="121" t="s">
        <v>217</v>
      </c>
      <c r="B18" s="121">
        <v>27</v>
      </c>
      <c r="C18" s="121">
        <v>27</v>
      </c>
      <c r="D18" s="121">
        <v>16</v>
      </c>
      <c r="E18" s="121">
        <f>D18</f>
        <v>16</v>
      </c>
      <c r="F18" s="500">
        <f t="shared" si="0"/>
        <v>100</v>
      </c>
      <c r="G18" s="500"/>
      <c r="H18" s="500">
        <f t="shared" si="1"/>
        <v>59.259259259259252</v>
      </c>
      <c r="I18" s="500"/>
      <c r="J18" s="143"/>
      <c r="K18" s="142"/>
      <c r="L18" s="25"/>
      <c r="M18" s="25"/>
      <c r="N18" s="105"/>
      <c r="O18" s="105"/>
    </row>
    <row r="19" spans="1:15" s="3" customFormat="1" ht="20.100000000000001" customHeight="1">
      <c r="A19" s="121" t="s">
        <v>218</v>
      </c>
      <c r="B19" s="121">
        <v>2</v>
      </c>
      <c r="C19" s="121">
        <v>2</v>
      </c>
      <c r="D19" s="121">
        <f>C19</f>
        <v>2</v>
      </c>
      <c r="E19" s="121">
        <f>D19</f>
        <v>2</v>
      </c>
      <c r="F19" s="500"/>
      <c r="G19" s="500"/>
      <c r="H19" s="500">
        <f t="shared" si="1"/>
        <v>100</v>
      </c>
      <c r="I19" s="500"/>
      <c r="J19" s="143"/>
      <c r="K19" s="142"/>
      <c r="L19" s="25"/>
      <c r="M19" s="25"/>
      <c r="N19" s="105"/>
      <c r="O19" s="105"/>
    </row>
    <row r="20" spans="1:15" s="3" customFormat="1" ht="20.100000000000001" customHeight="1">
      <c r="A20" s="121" t="s">
        <v>219</v>
      </c>
      <c r="B20" s="121">
        <v>6</v>
      </c>
      <c r="C20" s="121">
        <v>6</v>
      </c>
      <c r="D20" s="121">
        <v>2</v>
      </c>
      <c r="E20" s="121">
        <f>D20</f>
        <v>2</v>
      </c>
      <c r="F20" s="500">
        <f t="shared" si="0"/>
        <v>100</v>
      </c>
      <c r="G20" s="500"/>
      <c r="H20" s="500">
        <f t="shared" si="1"/>
        <v>33.333333333333329</v>
      </c>
      <c r="I20" s="500"/>
      <c r="J20" s="143"/>
      <c r="K20" s="142"/>
      <c r="L20" s="25"/>
      <c r="M20" s="25"/>
      <c r="N20" s="105"/>
      <c r="O20" s="105"/>
    </row>
    <row r="21" spans="1:15" s="3" customFormat="1" ht="20.100000000000001" customHeight="1">
      <c r="A21" s="189" t="s">
        <v>204</v>
      </c>
      <c r="B21" s="189">
        <f>B22+B23+B24</f>
        <v>5386.5</v>
      </c>
      <c r="C21" s="189">
        <f>C22+C23+C24</f>
        <v>7920.3</v>
      </c>
      <c r="D21" s="189">
        <f>D22+D23+D24</f>
        <v>7920.3</v>
      </c>
      <c r="E21" s="189">
        <f>E22+E23+E24</f>
        <v>7920.3</v>
      </c>
      <c r="F21" s="500">
        <f t="shared" si="0"/>
        <v>100</v>
      </c>
      <c r="G21" s="500"/>
      <c r="H21" s="500">
        <f t="shared" si="1"/>
        <v>147.03982177666387</v>
      </c>
      <c r="I21" s="500"/>
      <c r="J21" s="141"/>
      <c r="K21" s="142"/>
      <c r="L21" s="25"/>
      <c r="M21" s="25"/>
      <c r="N21" s="105"/>
      <c r="O21" s="105"/>
    </row>
    <row r="22" spans="1:15" s="3" customFormat="1" ht="20.100000000000001" customHeight="1">
      <c r="A22" s="121" t="s">
        <v>195</v>
      </c>
      <c r="B22" s="121">
        <f>91.5+22.9</f>
        <v>114.4</v>
      </c>
      <c r="C22" s="121">
        <v>108.9</v>
      </c>
      <c r="D22" s="121">
        <f>C22</f>
        <v>108.9</v>
      </c>
      <c r="E22" s="121">
        <f>C22</f>
        <v>108.9</v>
      </c>
      <c r="F22" s="500">
        <f t="shared" si="0"/>
        <v>100</v>
      </c>
      <c r="G22" s="500"/>
      <c r="H22" s="500">
        <f t="shared" si="1"/>
        <v>95.192307692307693</v>
      </c>
      <c r="I22" s="500"/>
      <c r="J22" s="142"/>
      <c r="K22" s="142"/>
      <c r="L22" s="77"/>
      <c r="M22" s="77"/>
      <c r="N22" s="105"/>
      <c r="O22" s="105"/>
    </row>
    <row r="23" spans="1:15" s="3" customFormat="1" ht="20.100000000000001" customHeight="1">
      <c r="A23" s="121" t="s">
        <v>206</v>
      </c>
      <c r="B23" s="121">
        <f>248.5</f>
        <v>248.5</v>
      </c>
      <c r="C23" s="121">
        <v>432.5</v>
      </c>
      <c r="D23" s="121">
        <f>C23</f>
        <v>432.5</v>
      </c>
      <c r="E23" s="121">
        <f>C23</f>
        <v>432.5</v>
      </c>
      <c r="F23" s="500">
        <f t="shared" si="0"/>
        <v>100</v>
      </c>
      <c r="G23" s="500"/>
      <c r="H23" s="500">
        <f t="shared" si="1"/>
        <v>174.04426559356136</v>
      </c>
      <c r="I23" s="500"/>
      <c r="J23" s="142"/>
      <c r="K23" s="142"/>
      <c r="L23" s="25"/>
      <c r="M23" s="25"/>
      <c r="N23" s="105"/>
      <c r="O23" s="105"/>
    </row>
    <row r="24" spans="1:15" s="3" customFormat="1" ht="20.100000000000001" customHeight="1">
      <c r="A24" s="121" t="s">
        <v>196</v>
      </c>
      <c r="B24" s="121">
        <f>5386.5-B22-B23</f>
        <v>5023.6000000000004</v>
      </c>
      <c r="C24" s="121">
        <f>7920.3-C22-C23</f>
        <v>7378.9000000000005</v>
      </c>
      <c r="D24" s="121">
        <f>C24</f>
        <v>7378.9000000000005</v>
      </c>
      <c r="E24" s="121">
        <f>C24</f>
        <v>7378.9000000000005</v>
      </c>
      <c r="F24" s="500">
        <f t="shared" si="0"/>
        <v>100</v>
      </c>
      <c r="G24" s="500"/>
      <c r="H24" s="500">
        <f t="shared" si="1"/>
        <v>146.88470419619398</v>
      </c>
      <c r="I24" s="500"/>
      <c r="J24" s="142"/>
      <c r="K24" s="144"/>
      <c r="L24" s="25"/>
      <c r="M24" s="25"/>
      <c r="N24" s="105"/>
      <c r="O24" s="105"/>
    </row>
    <row r="25" spans="1:15" s="3" customFormat="1" ht="34.5" customHeight="1">
      <c r="A25" s="189" t="s">
        <v>205</v>
      </c>
      <c r="B25" s="189">
        <f>B26+B27+B28</f>
        <v>6439.6</v>
      </c>
      <c r="C25" s="189">
        <f>C26+C27+C28</f>
        <v>9471.2999999999975</v>
      </c>
      <c r="D25" s="189">
        <f>D26+D27+D28</f>
        <v>9471.2999999999975</v>
      </c>
      <c r="E25" s="189">
        <f>E26+E27+E28</f>
        <v>9471.2999999999975</v>
      </c>
      <c r="F25" s="500">
        <f t="shared" si="0"/>
        <v>100</v>
      </c>
      <c r="G25" s="500"/>
      <c r="H25" s="500">
        <f t="shared" si="1"/>
        <v>147.07901111870299</v>
      </c>
      <c r="I25" s="500"/>
      <c r="J25" s="142"/>
      <c r="K25" s="144"/>
      <c r="L25" s="25"/>
      <c r="M25" s="25"/>
      <c r="N25" s="105"/>
      <c r="O25" s="105"/>
    </row>
    <row r="26" spans="1:15" s="3" customFormat="1" ht="20.100000000000001" customHeight="1">
      <c r="A26" s="121" t="s">
        <v>195</v>
      </c>
      <c r="B26" s="121">
        <f>B22+(17.8)</f>
        <v>132.20000000000002</v>
      </c>
      <c r="C26" s="121">
        <f>108.9+21.3</f>
        <v>130.20000000000002</v>
      </c>
      <c r="D26" s="121">
        <f>C26</f>
        <v>130.20000000000002</v>
      </c>
      <c r="E26" s="121">
        <f>C26</f>
        <v>130.20000000000002</v>
      </c>
      <c r="F26" s="500">
        <f t="shared" si="0"/>
        <v>100</v>
      </c>
      <c r="G26" s="500"/>
      <c r="H26" s="500">
        <f t="shared" si="1"/>
        <v>98.487140695915272</v>
      </c>
      <c r="I26" s="500"/>
      <c r="J26" s="188"/>
      <c r="K26" s="120"/>
      <c r="L26" s="25"/>
      <c r="M26" s="25"/>
      <c r="N26" s="105"/>
      <c r="O26" s="105"/>
    </row>
    <row r="27" spans="1:15" s="3" customFormat="1" ht="20.100000000000001" customHeight="1">
      <c r="A27" s="121" t="s">
        <v>206</v>
      </c>
      <c r="B27" s="121">
        <f>(248.5+48.5)</f>
        <v>297</v>
      </c>
      <c r="C27" s="121">
        <f>432.5+28.7</f>
        <v>461.2</v>
      </c>
      <c r="D27" s="121">
        <f>C27</f>
        <v>461.2</v>
      </c>
      <c r="E27" s="121">
        <f>C27</f>
        <v>461.2</v>
      </c>
      <c r="F27" s="500">
        <f t="shared" si="0"/>
        <v>100</v>
      </c>
      <c r="G27" s="500"/>
      <c r="H27" s="500">
        <f t="shared" si="1"/>
        <v>155.28619528619527</v>
      </c>
      <c r="I27" s="500"/>
      <c r="J27" s="142"/>
      <c r="K27" s="144"/>
      <c r="L27" s="25"/>
      <c r="M27" s="25"/>
      <c r="N27" s="105"/>
      <c r="O27" s="105"/>
    </row>
    <row r="28" spans="1:15" s="3" customFormat="1" ht="20.100000000000001" customHeight="1">
      <c r="A28" s="121" t="s">
        <v>196</v>
      </c>
      <c r="B28" s="121">
        <f>6439.6-B26-B27</f>
        <v>6010.4000000000005</v>
      </c>
      <c r="C28" s="121">
        <f>9471.3-C26-C27</f>
        <v>8879.8999999999978</v>
      </c>
      <c r="D28" s="121">
        <f>C28</f>
        <v>8879.8999999999978</v>
      </c>
      <c r="E28" s="121">
        <f>C28</f>
        <v>8879.8999999999978</v>
      </c>
      <c r="F28" s="500">
        <f t="shared" si="0"/>
        <v>100</v>
      </c>
      <c r="G28" s="500"/>
      <c r="H28" s="500">
        <f t="shared" si="1"/>
        <v>147.74224677226135</v>
      </c>
      <c r="I28" s="500"/>
      <c r="J28" s="142"/>
      <c r="K28" s="144"/>
      <c r="L28" s="25"/>
      <c r="M28" s="25"/>
      <c r="N28" s="105"/>
      <c r="O28" s="105"/>
    </row>
    <row r="29" spans="1:15" s="3" customFormat="1" ht="38.25" customHeight="1">
      <c r="A29" s="189" t="s">
        <v>220</v>
      </c>
      <c r="B29" s="145">
        <f>B21/B14/6*1000</f>
        <v>4932.6923076923076</v>
      </c>
      <c r="C29" s="145">
        <f>C21/C14/6*1000</f>
        <v>7253.0219780219777</v>
      </c>
      <c r="D29" s="145">
        <f>D21/D14/6*1000</f>
        <v>8148.4567901234559</v>
      </c>
      <c r="E29" s="145">
        <f>E21/E14/6*1000</f>
        <v>8148.4567901234559</v>
      </c>
      <c r="F29" s="500">
        <f t="shared" si="0"/>
        <v>100</v>
      </c>
      <c r="G29" s="500"/>
      <c r="H29" s="500">
        <f t="shared" si="1"/>
        <v>165.19288619353597</v>
      </c>
      <c r="I29" s="500"/>
      <c r="J29" s="146"/>
      <c r="K29" s="146"/>
      <c r="L29" s="134"/>
      <c r="M29" s="25"/>
      <c r="N29" s="105"/>
      <c r="O29" s="105"/>
    </row>
    <row r="30" spans="1:15" s="3" customFormat="1" ht="20.100000000000001" customHeight="1">
      <c r="A30" s="121" t="s">
        <v>195</v>
      </c>
      <c r="B30" s="147">
        <f>B22/1/6*1000</f>
        <v>19066.666666666668</v>
      </c>
      <c r="C30" s="147">
        <f>C22/1/6*1000</f>
        <v>18150.000000000004</v>
      </c>
      <c r="D30" s="147">
        <f>D22/1/6*1000</f>
        <v>18150.000000000004</v>
      </c>
      <c r="E30" s="147">
        <f>E22/1/6*1000</f>
        <v>18150.000000000004</v>
      </c>
      <c r="F30" s="500">
        <f t="shared" si="0"/>
        <v>100</v>
      </c>
      <c r="G30" s="500"/>
      <c r="H30" s="500">
        <f t="shared" si="1"/>
        <v>95.192307692307708</v>
      </c>
      <c r="I30" s="500"/>
      <c r="J30" s="142"/>
      <c r="K30" s="142"/>
      <c r="L30" s="25"/>
      <c r="M30" s="25"/>
      <c r="N30" s="105"/>
      <c r="O30" s="105"/>
    </row>
    <row r="31" spans="1:15" s="3" customFormat="1" ht="20.100000000000001" customHeight="1">
      <c r="A31" s="121" t="s">
        <v>206</v>
      </c>
      <c r="B31" s="147">
        <f>B23/4/6*1000</f>
        <v>10354.166666666666</v>
      </c>
      <c r="C31" s="147">
        <f>C23/4/6*1000</f>
        <v>18020.833333333332</v>
      </c>
      <c r="D31" s="147">
        <f>D23/4/6*1000</f>
        <v>18020.833333333332</v>
      </c>
      <c r="E31" s="147">
        <f>E23/4/6*1000</f>
        <v>18020.833333333332</v>
      </c>
      <c r="F31" s="500">
        <f t="shared" si="0"/>
        <v>100</v>
      </c>
      <c r="G31" s="500"/>
      <c r="H31" s="500">
        <f t="shared" si="1"/>
        <v>174.04426559356136</v>
      </c>
      <c r="I31" s="500"/>
      <c r="J31" s="142"/>
      <c r="K31" s="142"/>
      <c r="L31" s="25"/>
      <c r="M31" s="25"/>
      <c r="N31" s="105"/>
      <c r="O31" s="105"/>
    </row>
    <row r="32" spans="1:15" s="3" customFormat="1" ht="20.100000000000001" customHeight="1">
      <c r="A32" s="121" t="s">
        <v>196</v>
      </c>
      <c r="B32" s="147">
        <f>B24/(B14-5)/6*1000</f>
        <v>4730.320150659134</v>
      </c>
      <c r="C32" s="147">
        <f>C24/(C14-5)/6*1000</f>
        <v>6948.116760828626</v>
      </c>
      <c r="D32" s="147">
        <f>D24/(D14-5)/6*1000</f>
        <v>7833.2271762208065</v>
      </c>
      <c r="E32" s="147">
        <f>E24/(E14-5)/6*1000</f>
        <v>7833.2271762208065</v>
      </c>
      <c r="F32" s="500">
        <f t="shared" si="0"/>
        <v>100</v>
      </c>
      <c r="G32" s="500"/>
      <c r="H32" s="500">
        <f t="shared" si="1"/>
        <v>165.59613148233331</v>
      </c>
      <c r="I32" s="500"/>
      <c r="J32" s="142"/>
      <c r="K32" s="142"/>
      <c r="L32" s="25"/>
      <c r="M32" s="25"/>
      <c r="N32" s="105"/>
      <c r="O32" s="105"/>
    </row>
    <row r="33" spans="1:23" s="3" customFormat="1" ht="37.700000000000003" customHeight="1">
      <c r="A33" s="189" t="s">
        <v>221</v>
      </c>
      <c r="B33" s="189"/>
      <c r="C33" s="189"/>
      <c r="D33" s="189"/>
      <c r="E33" s="189"/>
      <c r="F33" s="500" t="e">
        <f>E33/D33*100</f>
        <v>#DIV/0!</v>
      </c>
      <c r="G33" s="500"/>
      <c r="H33" s="500" t="e">
        <f t="shared" si="1"/>
        <v>#DIV/0!</v>
      </c>
      <c r="I33" s="500"/>
      <c r="J33" s="142"/>
      <c r="K33" s="142"/>
      <c r="L33" s="25"/>
      <c r="M33" s="25"/>
      <c r="N33" s="105"/>
      <c r="O33" s="105"/>
      <c r="Q33" s="40"/>
    </row>
    <row r="34" spans="1:23" s="3" customFormat="1" ht="20.100000000000001" customHeight="1">
      <c r="A34" s="121" t="s">
        <v>195</v>
      </c>
      <c r="B34" s="115"/>
      <c r="C34" s="116"/>
      <c r="D34" s="115"/>
      <c r="E34" s="115"/>
      <c r="F34" s="500" t="e">
        <f t="shared" si="0"/>
        <v>#DIV/0!</v>
      </c>
      <c r="G34" s="500"/>
      <c r="H34" s="500" t="e">
        <f t="shared" si="1"/>
        <v>#DIV/0!</v>
      </c>
      <c r="I34" s="500"/>
      <c r="J34" s="142"/>
      <c r="K34" s="142"/>
      <c r="L34" s="25"/>
      <c r="M34" s="25"/>
      <c r="N34" s="105"/>
      <c r="O34" s="105"/>
    </row>
    <row r="35" spans="1:23" s="3" customFormat="1" ht="20.100000000000001" customHeight="1">
      <c r="A35" s="121" t="s">
        <v>206</v>
      </c>
      <c r="B35" s="115"/>
      <c r="C35" s="115"/>
      <c r="D35" s="115"/>
      <c r="E35" s="115"/>
      <c r="F35" s="500" t="e">
        <f t="shared" si="0"/>
        <v>#DIV/0!</v>
      </c>
      <c r="G35" s="500"/>
      <c r="H35" s="500" t="e">
        <f t="shared" si="1"/>
        <v>#DIV/0!</v>
      </c>
      <c r="I35" s="500"/>
      <c r="J35" s="142"/>
      <c r="K35" s="142"/>
      <c r="L35" s="25"/>
      <c r="M35" s="25"/>
      <c r="N35" s="105"/>
      <c r="O35" s="105"/>
    </row>
    <row r="36" spans="1:23" s="3" customFormat="1" ht="20.100000000000001" customHeight="1">
      <c r="A36" s="121" t="s">
        <v>196</v>
      </c>
      <c r="B36" s="115"/>
      <c r="C36" s="115"/>
      <c r="D36" s="115"/>
      <c r="E36" s="115"/>
      <c r="F36" s="500" t="e">
        <f t="shared" si="0"/>
        <v>#DIV/0!</v>
      </c>
      <c r="G36" s="500"/>
      <c r="H36" s="500" t="e">
        <f t="shared" si="1"/>
        <v>#DIV/0!</v>
      </c>
      <c r="I36" s="500"/>
      <c r="J36" s="142"/>
      <c r="K36" s="142"/>
      <c r="L36" s="25"/>
      <c r="M36" s="25"/>
      <c r="N36" s="105"/>
      <c r="O36" s="105"/>
    </row>
    <row r="37" spans="1:23" ht="16.5" customHeight="1">
      <c r="A37" s="148"/>
      <c r="B37" s="148"/>
      <c r="C37" s="148"/>
      <c r="D37" s="148"/>
      <c r="E37" s="148"/>
      <c r="F37" s="149"/>
      <c r="G37" s="149"/>
      <c r="H37" s="149"/>
      <c r="I37" s="149"/>
      <c r="J37" s="149"/>
      <c r="K37" s="149"/>
      <c r="L37" s="20"/>
      <c r="M37" s="20"/>
      <c r="N37" s="20"/>
      <c r="O37" s="20"/>
    </row>
    <row r="38" spans="1:23" ht="15" customHeight="1">
      <c r="A38" s="149"/>
      <c r="B38" s="149"/>
      <c r="C38" s="149"/>
      <c r="D38" s="149"/>
      <c r="E38" s="149"/>
      <c r="F38" s="149"/>
      <c r="G38" s="149"/>
      <c r="H38" s="149"/>
      <c r="I38" s="149"/>
    </row>
    <row r="39" spans="1:23" ht="108" customHeight="1">
      <c r="A39" s="192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21"/>
      <c r="M39" s="21"/>
      <c r="N39" s="21"/>
      <c r="O39" s="21"/>
    </row>
    <row r="40" spans="1:23" ht="21.95" customHeight="1">
      <c r="A40" s="196" t="s">
        <v>264</v>
      </c>
      <c r="B40" s="196"/>
      <c r="C40" s="196"/>
      <c r="D40" s="196"/>
      <c r="E40" s="196"/>
      <c r="F40" s="196"/>
      <c r="G40" s="196"/>
      <c r="H40" s="196"/>
      <c r="I40" s="196"/>
      <c r="J40" s="196"/>
    </row>
    <row r="41" spans="1:23" ht="20.100000000000001" customHeight="1">
      <c r="A41" s="150"/>
    </row>
    <row r="42" spans="1:23" ht="71.25" customHeight="1">
      <c r="A42" s="449" t="s">
        <v>197</v>
      </c>
      <c r="B42" s="432" t="s">
        <v>222</v>
      </c>
      <c r="C42" s="434"/>
      <c r="D42" s="432" t="s">
        <v>327</v>
      </c>
      <c r="E42" s="434"/>
      <c r="F42" s="432" t="s">
        <v>329</v>
      </c>
      <c r="G42" s="445"/>
      <c r="H42" s="432" t="s">
        <v>287</v>
      </c>
      <c r="I42" s="434"/>
      <c r="J42" s="432" t="s">
        <v>328</v>
      </c>
      <c r="K42" s="434"/>
      <c r="M42" s="40"/>
      <c r="N42" s="40"/>
      <c r="O42" s="40"/>
    </row>
    <row r="43" spans="1:23" ht="163.69999999999999" customHeight="1">
      <c r="A43" s="449"/>
      <c r="B43" s="187" t="s">
        <v>62</v>
      </c>
      <c r="C43" s="187" t="s">
        <v>63</v>
      </c>
      <c r="D43" s="187" t="s">
        <v>223</v>
      </c>
      <c r="E43" s="187" t="s">
        <v>348</v>
      </c>
      <c r="F43" s="187" t="s">
        <v>223</v>
      </c>
      <c r="G43" s="187" t="s">
        <v>348</v>
      </c>
      <c r="H43" s="187" t="s">
        <v>223</v>
      </c>
      <c r="I43" s="187" t="s">
        <v>348</v>
      </c>
      <c r="J43" s="187" t="s">
        <v>223</v>
      </c>
      <c r="K43" s="187" t="s">
        <v>348</v>
      </c>
      <c r="L43" s="130"/>
      <c r="M43" s="40"/>
      <c r="N43" s="40"/>
    </row>
    <row r="44" spans="1:23" ht="18" customHeight="1">
      <c r="A44" s="187">
        <v>1</v>
      </c>
      <c r="B44" s="187">
        <v>2</v>
      </c>
      <c r="C44" s="187">
        <v>3</v>
      </c>
      <c r="D44" s="187">
        <v>4</v>
      </c>
      <c r="E44" s="187">
        <v>5</v>
      </c>
      <c r="F44" s="187">
        <v>6</v>
      </c>
      <c r="G44" s="187">
        <v>7</v>
      </c>
      <c r="H44" s="187">
        <v>8</v>
      </c>
      <c r="I44" s="187">
        <v>9</v>
      </c>
      <c r="J44" s="187">
        <v>10</v>
      </c>
      <c r="K44" s="187">
        <v>11</v>
      </c>
      <c r="L44" s="21"/>
      <c r="M44" s="21"/>
      <c r="N44" s="21"/>
      <c r="O44" s="21"/>
    </row>
    <row r="45" spans="1:23" s="122" customFormat="1" ht="82.5" customHeight="1">
      <c r="A45" s="119" t="s">
        <v>319</v>
      </c>
      <c r="B45" s="123">
        <f>D45/$D$54*100</f>
        <v>0</v>
      </c>
      <c r="C45" s="123">
        <f>F45/$F$54*100</f>
        <v>67.352459924771352</v>
      </c>
      <c r="D45" s="187"/>
      <c r="E45" s="187"/>
      <c r="F45" s="187">
        <v>10331.799999999999</v>
      </c>
      <c r="G45" s="187">
        <v>55102</v>
      </c>
      <c r="H45" s="187"/>
      <c r="I45" s="187"/>
      <c r="J45" s="187">
        <v>10331.799999999999</v>
      </c>
      <c r="K45" s="187">
        <v>55102</v>
      </c>
      <c r="L45" s="21"/>
      <c r="M45" s="21"/>
      <c r="N45" s="21"/>
      <c r="O45" s="21"/>
      <c r="P45" s="2"/>
      <c r="Q45" s="2"/>
      <c r="R45" s="2"/>
      <c r="S45" s="2"/>
      <c r="T45" s="2"/>
      <c r="U45" s="2"/>
      <c r="V45" s="2"/>
      <c r="W45" s="2"/>
    </row>
    <row r="46" spans="1:23" s="122" customFormat="1" ht="125.25" customHeight="1">
      <c r="A46" s="119" t="s">
        <v>320</v>
      </c>
      <c r="B46" s="123">
        <f t="shared" ref="B46:B53" si="2">D46/$D$54*100</f>
        <v>0.75342531241335131</v>
      </c>
      <c r="C46" s="123">
        <f>F46/$F$54*100</f>
        <v>4.3227139681484239</v>
      </c>
      <c r="D46" s="187">
        <v>78.8</v>
      </c>
      <c r="E46" s="187">
        <v>377</v>
      </c>
      <c r="F46" s="187">
        <v>663.1</v>
      </c>
      <c r="G46" s="187">
        <v>377</v>
      </c>
      <c r="H46" s="187"/>
      <c r="I46" s="187"/>
      <c r="J46" s="187">
        <f t="shared" ref="J46:K50" si="3">F46</f>
        <v>663.1</v>
      </c>
      <c r="K46" s="187">
        <f t="shared" si="3"/>
        <v>377</v>
      </c>
      <c r="L46" s="131"/>
      <c r="M46" s="21"/>
      <c r="N46" s="21"/>
      <c r="O46" s="132"/>
      <c r="P46" s="133"/>
      <c r="Q46" s="2"/>
      <c r="R46" s="2"/>
      <c r="S46" s="2"/>
      <c r="T46" s="2"/>
      <c r="U46" s="2"/>
      <c r="V46" s="2"/>
      <c r="W46" s="2"/>
    </row>
    <row r="47" spans="1:23" s="122" customFormat="1" ht="92.25" customHeight="1">
      <c r="A47" s="119" t="s">
        <v>321</v>
      </c>
      <c r="B47" s="123">
        <f t="shared" si="2"/>
        <v>3.725057128378702</v>
      </c>
      <c r="C47" s="123">
        <f t="shared" ref="C47:C53" si="4">F47/$F$54*100</f>
        <v>4.5169785982959478</v>
      </c>
      <c r="D47" s="187">
        <v>389.6</v>
      </c>
      <c r="E47" s="187">
        <v>5628</v>
      </c>
      <c r="F47" s="187">
        <v>692.9</v>
      </c>
      <c r="G47" s="187">
        <v>5628</v>
      </c>
      <c r="H47" s="187"/>
      <c r="I47" s="187"/>
      <c r="J47" s="187">
        <f t="shared" si="3"/>
        <v>692.9</v>
      </c>
      <c r="K47" s="187">
        <f t="shared" si="3"/>
        <v>5628</v>
      </c>
      <c r="L47" s="131"/>
      <c r="M47" s="21"/>
      <c r="N47" s="21"/>
      <c r="O47" s="132"/>
      <c r="P47" s="133"/>
      <c r="Q47" s="2"/>
      <c r="R47" s="2"/>
      <c r="S47" s="2"/>
      <c r="T47" s="2"/>
      <c r="U47" s="2"/>
      <c r="V47" s="2"/>
      <c r="W47" s="2"/>
    </row>
    <row r="48" spans="1:23" s="122" customFormat="1" ht="80.25" customHeight="1">
      <c r="A48" s="119" t="s">
        <v>322</v>
      </c>
      <c r="B48" s="123">
        <f t="shared" si="2"/>
        <v>14.531164845251412</v>
      </c>
      <c r="C48" s="123">
        <f t="shared" si="4"/>
        <v>3.1264871348574634</v>
      </c>
      <c r="D48" s="187">
        <v>1519.8</v>
      </c>
      <c r="E48" s="187">
        <v>55102</v>
      </c>
      <c r="F48" s="187">
        <v>479.6</v>
      </c>
      <c r="G48" s="187">
        <v>55102</v>
      </c>
      <c r="H48" s="187"/>
      <c r="I48" s="187"/>
      <c r="J48" s="187">
        <f t="shared" si="3"/>
        <v>479.6</v>
      </c>
      <c r="K48" s="187">
        <f t="shared" si="3"/>
        <v>55102</v>
      </c>
      <c r="L48" s="2"/>
      <c r="M48" s="21"/>
      <c r="N48" s="21"/>
      <c r="O48" s="137"/>
      <c r="P48" s="138"/>
      <c r="Q48" s="2"/>
      <c r="R48" s="2"/>
      <c r="S48" s="2"/>
      <c r="T48" s="2"/>
      <c r="U48" s="2"/>
      <c r="V48" s="2"/>
      <c r="W48" s="2"/>
    </row>
    <row r="49" spans="1:23" s="122" customFormat="1" ht="98.25" customHeight="1">
      <c r="A49" s="119" t="s">
        <v>347</v>
      </c>
      <c r="B49" s="123">
        <f t="shared" si="2"/>
        <v>3.8493531824570466</v>
      </c>
      <c r="C49" s="123">
        <f t="shared" si="4"/>
        <v>3.1062783981642648</v>
      </c>
      <c r="D49" s="187">
        <v>402.6</v>
      </c>
      <c r="E49" s="187">
        <f>67+1</f>
        <v>68</v>
      </c>
      <c r="F49" s="187">
        <v>476.5</v>
      </c>
      <c r="G49" s="187">
        <f>67+1</f>
        <v>68</v>
      </c>
      <c r="H49" s="187"/>
      <c r="I49" s="187"/>
      <c r="J49" s="187">
        <f t="shared" si="3"/>
        <v>476.5</v>
      </c>
      <c r="K49" s="187">
        <f t="shared" si="3"/>
        <v>68</v>
      </c>
      <c r="L49" s="138"/>
      <c r="M49" s="21"/>
      <c r="N49" s="21"/>
      <c r="O49" s="137"/>
      <c r="P49" s="138"/>
      <c r="Q49" s="2"/>
      <c r="R49" s="2"/>
      <c r="S49" s="2"/>
      <c r="T49" s="2"/>
      <c r="U49" s="2"/>
      <c r="V49" s="2"/>
      <c r="W49" s="2"/>
    </row>
    <row r="50" spans="1:23" s="122" customFormat="1" ht="72.75" customHeight="1">
      <c r="A50" s="119" t="s">
        <v>323</v>
      </c>
      <c r="B50" s="123">
        <f t="shared" si="2"/>
        <v>18.599470307584927</v>
      </c>
      <c r="C50" s="123">
        <f t="shared" si="4"/>
        <v>15.619397779646544</v>
      </c>
      <c r="D50" s="187">
        <v>1945.3</v>
      </c>
      <c r="E50" s="187">
        <v>12</v>
      </c>
      <c r="F50" s="187">
        <v>2396</v>
      </c>
      <c r="G50" s="187">
        <v>11</v>
      </c>
      <c r="H50" s="187"/>
      <c r="I50" s="187"/>
      <c r="J50" s="187">
        <f t="shared" si="3"/>
        <v>2396</v>
      </c>
      <c r="K50" s="187">
        <f t="shared" si="3"/>
        <v>11</v>
      </c>
      <c r="L50" s="2"/>
      <c r="M50" s="21"/>
      <c r="N50" s="21"/>
      <c r="O50" s="137"/>
      <c r="P50" s="138"/>
      <c r="Q50" s="2"/>
      <c r="R50" s="2"/>
      <c r="S50" s="2"/>
      <c r="T50" s="2"/>
      <c r="U50" s="2"/>
      <c r="V50" s="2"/>
      <c r="W50" s="2"/>
    </row>
    <row r="51" spans="1:23" s="122" customFormat="1" ht="73.7" customHeight="1">
      <c r="A51" s="119" t="s">
        <v>324</v>
      </c>
      <c r="B51" s="123">
        <f t="shared" si="2"/>
        <v>0</v>
      </c>
      <c r="C51" s="123">
        <f t="shared" si="4"/>
        <v>0</v>
      </c>
      <c r="D51" s="187"/>
      <c r="E51" s="187"/>
      <c r="F51" s="187"/>
      <c r="G51" s="187"/>
      <c r="H51" s="187"/>
      <c r="I51" s="187"/>
      <c r="J51" s="187"/>
      <c r="K51" s="187"/>
      <c r="L51" s="2"/>
      <c r="M51" s="21"/>
      <c r="N51" s="21"/>
      <c r="O51" s="137"/>
      <c r="P51" s="138"/>
      <c r="Q51" s="2"/>
      <c r="R51" s="2"/>
      <c r="S51" s="2"/>
      <c r="T51" s="2"/>
      <c r="U51" s="2"/>
      <c r="V51" s="2"/>
      <c r="W51" s="2"/>
    </row>
    <row r="52" spans="1:23" ht="72.75" customHeight="1">
      <c r="A52" s="119" t="s">
        <v>325</v>
      </c>
      <c r="B52" s="123">
        <f t="shared" si="2"/>
        <v>54.716079128780272</v>
      </c>
      <c r="C52" s="123">
        <f t="shared" si="4"/>
        <v>0</v>
      </c>
      <c r="D52" s="187">
        <v>5722.7</v>
      </c>
      <c r="E52" s="187">
        <v>55102</v>
      </c>
      <c r="F52" s="187"/>
      <c r="G52" s="187"/>
      <c r="H52" s="187"/>
      <c r="I52" s="187"/>
      <c r="J52" s="187"/>
      <c r="K52" s="187"/>
      <c r="M52" s="21"/>
      <c r="N52" s="21"/>
      <c r="O52" s="21"/>
    </row>
    <row r="53" spans="1:23" ht="23.45" customHeight="1">
      <c r="A53" s="118" t="s">
        <v>326</v>
      </c>
      <c r="B53" s="123">
        <f t="shared" si="2"/>
        <v>3.8254500951342876</v>
      </c>
      <c r="C53" s="123">
        <f t="shared" si="4"/>
        <v>1.9556841961160112</v>
      </c>
      <c r="D53" s="112">
        <v>400.1</v>
      </c>
      <c r="E53" s="193">
        <v>1622</v>
      </c>
      <c r="F53" s="112">
        <v>300</v>
      </c>
      <c r="G53" s="193">
        <v>1216</v>
      </c>
      <c r="H53" s="112"/>
      <c r="I53" s="193"/>
      <c r="J53" s="112">
        <v>300</v>
      </c>
      <c r="K53" s="193">
        <v>1216</v>
      </c>
      <c r="M53" s="114"/>
      <c r="N53" s="113"/>
      <c r="O53" s="77"/>
    </row>
    <row r="54" spans="1:23" ht="23.45" customHeight="1">
      <c r="A54" s="121" t="s">
        <v>45</v>
      </c>
      <c r="B54" s="112">
        <f>SUM(B45:B53)</f>
        <v>100</v>
      </c>
      <c r="C54" s="112">
        <f>SUM(C45:C53)</f>
        <v>100.00000000000001</v>
      </c>
      <c r="D54" s="112">
        <f>SUM(D45:D53)</f>
        <v>10458.9</v>
      </c>
      <c r="E54" s="112"/>
      <c r="F54" s="112">
        <f>SUM(F45:F53)</f>
        <v>15339.9</v>
      </c>
      <c r="G54" s="112"/>
      <c r="H54" s="112"/>
      <c r="I54" s="112"/>
      <c r="J54" s="112">
        <f>SUM(J45:J53)</f>
        <v>15339.9</v>
      </c>
      <c r="K54" s="112"/>
      <c r="M54" s="78"/>
      <c r="N54" s="78"/>
      <c r="O54" s="78"/>
    </row>
    <row r="55" spans="1:23" ht="81.75" customHeight="1">
      <c r="A55" s="152"/>
      <c r="B55" s="153"/>
      <c r="C55" s="153"/>
      <c r="D55" s="153"/>
      <c r="E55" s="153"/>
      <c r="F55" s="153"/>
      <c r="G55" s="153"/>
      <c r="H55" s="135"/>
      <c r="I55" s="135"/>
      <c r="J55" s="117"/>
      <c r="K55" s="117"/>
      <c r="M55" s="5"/>
      <c r="N55" s="5"/>
      <c r="O55" s="5"/>
    </row>
    <row r="56" spans="1:23" ht="21.95" customHeight="1">
      <c r="A56" s="117" t="s">
        <v>242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M56" s="5"/>
      <c r="N56" s="5"/>
      <c r="O56" s="5"/>
    </row>
    <row r="57" spans="1:23" ht="20.100000000000001" customHeight="1">
      <c r="A57" s="150"/>
    </row>
    <row r="58" spans="1:23" ht="81.75" customHeight="1">
      <c r="A58" s="187" t="s">
        <v>112</v>
      </c>
      <c r="B58" s="432" t="s">
        <v>60</v>
      </c>
      <c r="C58" s="433"/>
      <c r="D58" s="434"/>
      <c r="E58" s="187" t="s">
        <v>246</v>
      </c>
      <c r="F58" s="187" t="s">
        <v>56</v>
      </c>
      <c r="G58" s="187" t="s">
        <v>224</v>
      </c>
      <c r="H58" s="187" t="s">
        <v>76</v>
      </c>
      <c r="I58" s="432" t="s">
        <v>23</v>
      </c>
      <c r="J58" s="446"/>
      <c r="K58" s="434"/>
      <c r="L58" s="40"/>
      <c r="M58" s="40"/>
      <c r="N58" s="40"/>
      <c r="O58" s="40"/>
    </row>
    <row r="59" spans="1:23" ht="18" customHeight="1">
      <c r="A59" s="190">
        <v>1</v>
      </c>
      <c r="B59" s="432">
        <v>2</v>
      </c>
      <c r="C59" s="433"/>
      <c r="D59" s="434"/>
      <c r="E59" s="190">
        <v>3</v>
      </c>
      <c r="F59" s="190">
        <v>4</v>
      </c>
      <c r="G59" s="190">
        <v>5</v>
      </c>
      <c r="H59" s="154">
        <v>6</v>
      </c>
      <c r="I59" s="432">
        <v>7</v>
      </c>
      <c r="J59" s="446"/>
      <c r="K59" s="451"/>
      <c r="L59" s="21"/>
      <c r="M59" s="21"/>
      <c r="N59" s="21"/>
      <c r="O59" s="21"/>
    </row>
    <row r="60" spans="1:23" ht="20.100000000000001" customHeight="1">
      <c r="A60" s="121"/>
      <c r="B60" s="447"/>
      <c r="C60" s="448"/>
      <c r="D60" s="434"/>
      <c r="E60" s="193"/>
      <c r="F60" s="193"/>
      <c r="G60" s="193"/>
      <c r="H60" s="112"/>
      <c r="I60" s="432"/>
      <c r="J60" s="446"/>
      <c r="K60" s="434"/>
      <c r="L60" s="77"/>
      <c r="M60" s="77"/>
      <c r="N60" s="77"/>
      <c r="O60" s="77"/>
    </row>
    <row r="61" spans="1:23" ht="20.100000000000001" customHeight="1">
      <c r="A61" s="121"/>
      <c r="B61" s="447"/>
      <c r="C61" s="448"/>
      <c r="D61" s="434"/>
      <c r="E61" s="155"/>
      <c r="F61" s="193"/>
      <c r="G61" s="155"/>
      <c r="H61" s="156"/>
      <c r="I61" s="432"/>
      <c r="J61" s="446"/>
      <c r="K61" s="434"/>
      <c r="L61" s="77"/>
      <c r="M61" s="77"/>
      <c r="N61" s="77"/>
      <c r="O61" s="77"/>
    </row>
    <row r="62" spans="1:23" ht="20.100000000000001" customHeight="1">
      <c r="A62" s="121"/>
      <c r="B62" s="447"/>
      <c r="C62" s="448"/>
      <c r="D62" s="434"/>
      <c r="E62" s="193"/>
      <c r="F62" s="193"/>
      <c r="G62" s="193"/>
      <c r="H62" s="112"/>
      <c r="I62" s="432"/>
      <c r="J62" s="446"/>
      <c r="K62" s="434"/>
      <c r="L62" s="77"/>
      <c r="M62" s="77"/>
      <c r="N62" s="77"/>
      <c r="O62" s="77"/>
    </row>
    <row r="63" spans="1:23" ht="20.100000000000001" customHeight="1">
      <c r="A63" s="121" t="s">
        <v>45</v>
      </c>
      <c r="B63" s="432" t="s">
        <v>24</v>
      </c>
      <c r="C63" s="433"/>
      <c r="D63" s="434"/>
      <c r="E63" s="187"/>
      <c r="F63" s="187" t="s">
        <v>24</v>
      </c>
      <c r="G63" s="187" t="s">
        <v>24</v>
      </c>
      <c r="H63" s="187"/>
      <c r="I63" s="432" t="s">
        <v>24</v>
      </c>
      <c r="J63" s="446"/>
      <c r="K63" s="434"/>
      <c r="L63" s="77"/>
      <c r="M63" s="77"/>
      <c r="N63" s="77"/>
      <c r="O63" s="77"/>
    </row>
    <row r="64" spans="1:23" ht="20.100000000000001" customHeight="1">
      <c r="A64" s="135"/>
      <c r="B64" s="188"/>
      <c r="C64" s="188"/>
      <c r="D64" s="188"/>
      <c r="E64" s="188"/>
      <c r="F64" s="188"/>
      <c r="G64" s="188"/>
      <c r="H64" s="188"/>
      <c r="I64" s="188"/>
      <c r="J64" s="188"/>
      <c r="K64" s="120"/>
      <c r="L64" s="3"/>
      <c r="M64" s="3"/>
      <c r="N64" s="3"/>
      <c r="O64" s="3"/>
    </row>
    <row r="65" spans="1:15" ht="21.95" customHeight="1">
      <c r="A65" s="117" t="s">
        <v>243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5"/>
      <c r="M65" s="5"/>
      <c r="N65" s="5"/>
      <c r="O65" s="5"/>
    </row>
    <row r="66" spans="1:15" ht="20.100000000000001" customHeight="1">
      <c r="A66" s="117"/>
      <c r="B66" s="157"/>
      <c r="C66" s="157"/>
      <c r="D66" s="157"/>
      <c r="E66" s="117"/>
      <c r="F66" s="117"/>
      <c r="G66" s="117"/>
      <c r="H66" s="117"/>
      <c r="I66" s="117"/>
    </row>
    <row r="67" spans="1:15" ht="82.5" customHeight="1">
      <c r="A67" s="187" t="s">
        <v>55</v>
      </c>
      <c r="B67" s="432" t="s">
        <v>247</v>
      </c>
      <c r="C67" s="433"/>
      <c r="D67" s="434"/>
      <c r="E67" s="423" t="s">
        <v>234</v>
      </c>
      <c r="F67" s="425"/>
      <c r="G67" s="442" t="s">
        <v>233</v>
      </c>
      <c r="H67" s="442"/>
      <c r="I67" s="423" t="s">
        <v>77</v>
      </c>
      <c r="J67" s="483"/>
      <c r="K67" s="425"/>
      <c r="L67" s="40"/>
      <c r="M67" s="40"/>
      <c r="N67" s="40"/>
      <c r="O67" s="40"/>
    </row>
    <row r="68" spans="1:15" ht="18" customHeight="1">
      <c r="A68" s="187">
        <v>1</v>
      </c>
      <c r="B68" s="432">
        <v>2</v>
      </c>
      <c r="C68" s="433"/>
      <c r="D68" s="446"/>
      <c r="E68" s="432">
        <v>3</v>
      </c>
      <c r="F68" s="434"/>
      <c r="G68" s="432">
        <v>4</v>
      </c>
      <c r="H68" s="445"/>
      <c r="I68" s="432">
        <v>5</v>
      </c>
      <c r="J68" s="450"/>
      <c r="K68" s="451"/>
      <c r="L68" s="21"/>
      <c r="M68" s="21"/>
      <c r="N68" s="21"/>
      <c r="O68" s="21"/>
    </row>
    <row r="69" spans="1:15" ht="20.100000000000001" customHeight="1">
      <c r="A69" s="121" t="s">
        <v>225</v>
      </c>
      <c r="B69" s="417"/>
      <c r="C69" s="418"/>
      <c r="D69" s="437"/>
      <c r="E69" s="198"/>
      <c r="F69" s="155"/>
      <c r="G69" s="158"/>
      <c r="H69" s="155"/>
      <c r="I69" s="197"/>
      <c r="J69" s="194"/>
      <c r="K69" s="159"/>
      <c r="L69" s="77"/>
      <c r="M69" s="77"/>
      <c r="N69" s="77"/>
      <c r="O69" s="77"/>
    </row>
    <row r="70" spans="1:15" ht="20.100000000000001" customHeight="1">
      <c r="A70" s="121" t="s">
        <v>90</v>
      </c>
      <c r="B70" s="417"/>
      <c r="C70" s="418"/>
      <c r="D70" s="437"/>
      <c r="E70" s="198"/>
      <c r="F70" s="155"/>
      <c r="G70" s="158"/>
      <c r="H70" s="155"/>
      <c r="I70" s="197"/>
      <c r="J70" s="194"/>
      <c r="K70" s="159"/>
      <c r="L70" s="77"/>
      <c r="M70" s="77"/>
      <c r="N70" s="77"/>
      <c r="O70" s="77"/>
    </row>
    <row r="71" spans="1:15" ht="20.100000000000001" customHeight="1">
      <c r="A71" s="121"/>
      <c r="B71" s="417"/>
      <c r="C71" s="418"/>
      <c r="D71" s="437"/>
      <c r="E71" s="198"/>
      <c r="F71" s="155"/>
      <c r="G71" s="158"/>
      <c r="H71" s="155"/>
      <c r="I71" s="197"/>
      <c r="J71" s="194"/>
      <c r="K71" s="159"/>
      <c r="L71" s="77"/>
      <c r="M71" s="77"/>
      <c r="N71" s="77"/>
      <c r="O71" s="77"/>
    </row>
    <row r="72" spans="1:15" ht="20.100000000000001" customHeight="1">
      <c r="A72" s="121" t="s">
        <v>226</v>
      </c>
      <c r="B72" s="417"/>
      <c r="C72" s="418"/>
      <c r="D72" s="437"/>
      <c r="E72" s="198"/>
      <c r="F72" s="155"/>
      <c r="G72" s="158"/>
      <c r="H72" s="155"/>
      <c r="I72" s="197"/>
      <c r="J72" s="194"/>
      <c r="K72" s="159"/>
      <c r="L72" s="77"/>
      <c r="M72" s="77"/>
      <c r="N72" s="77"/>
      <c r="O72" s="77"/>
    </row>
    <row r="73" spans="1:15" ht="20.100000000000001" customHeight="1">
      <c r="A73" s="121" t="s">
        <v>91</v>
      </c>
      <c r="B73" s="417"/>
      <c r="C73" s="418"/>
      <c r="D73" s="437"/>
      <c r="E73" s="198"/>
      <c r="F73" s="155"/>
      <c r="G73" s="158"/>
      <c r="H73" s="155"/>
      <c r="I73" s="197"/>
      <c r="J73" s="194"/>
      <c r="K73" s="159"/>
      <c r="L73" s="77"/>
      <c r="M73" s="77"/>
      <c r="N73" s="77"/>
      <c r="O73" s="77"/>
    </row>
    <row r="74" spans="1:15" ht="20.100000000000001" customHeight="1">
      <c r="A74" s="121"/>
      <c r="B74" s="417"/>
      <c r="C74" s="418"/>
      <c r="D74" s="437"/>
      <c r="E74" s="198"/>
      <c r="F74" s="155"/>
      <c r="G74" s="158"/>
      <c r="H74" s="155"/>
      <c r="I74" s="197"/>
      <c r="J74" s="194"/>
      <c r="K74" s="159"/>
      <c r="L74" s="77"/>
      <c r="M74" s="77"/>
      <c r="N74" s="77"/>
      <c r="O74" s="77"/>
    </row>
    <row r="75" spans="1:15" ht="20.100000000000001" customHeight="1">
      <c r="A75" s="121" t="s">
        <v>227</v>
      </c>
      <c r="B75" s="417"/>
      <c r="C75" s="418"/>
      <c r="D75" s="437"/>
      <c r="E75" s="198"/>
      <c r="F75" s="155"/>
      <c r="G75" s="158"/>
      <c r="H75" s="155"/>
      <c r="I75" s="197"/>
      <c r="J75" s="194"/>
      <c r="K75" s="159"/>
      <c r="L75" s="77"/>
      <c r="M75" s="77"/>
      <c r="N75" s="77"/>
      <c r="O75" s="77"/>
    </row>
    <row r="76" spans="1:15" ht="20.100000000000001" customHeight="1">
      <c r="A76" s="121" t="s">
        <v>90</v>
      </c>
      <c r="B76" s="417"/>
      <c r="C76" s="418"/>
      <c r="D76" s="437"/>
      <c r="E76" s="198"/>
      <c r="F76" s="155"/>
      <c r="G76" s="158"/>
      <c r="H76" s="155"/>
      <c r="I76" s="197"/>
      <c r="J76" s="194"/>
      <c r="K76" s="159"/>
      <c r="L76" s="77"/>
      <c r="M76" s="77"/>
      <c r="N76" s="77"/>
      <c r="O76" s="77"/>
    </row>
    <row r="77" spans="1:15" ht="20.100000000000001" customHeight="1">
      <c r="A77" s="121"/>
      <c r="B77" s="417"/>
      <c r="C77" s="418"/>
      <c r="D77" s="437"/>
      <c r="E77" s="198"/>
      <c r="F77" s="155"/>
      <c r="G77" s="158"/>
      <c r="H77" s="155"/>
      <c r="I77" s="197"/>
      <c r="J77" s="194"/>
      <c r="K77" s="159"/>
      <c r="L77" s="77"/>
      <c r="M77" s="77"/>
      <c r="N77" s="77"/>
      <c r="O77" s="77"/>
    </row>
    <row r="78" spans="1:15" ht="20.100000000000001" customHeight="1">
      <c r="A78" s="121" t="s">
        <v>45</v>
      </c>
      <c r="B78" s="417"/>
      <c r="C78" s="418"/>
      <c r="D78" s="437"/>
      <c r="E78" s="198"/>
      <c r="F78" s="160"/>
      <c r="G78" s="158"/>
      <c r="H78" s="160"/>
      <c r="I78" s="161"/>
      <c r="J78" s="194"/>
      <c r="K78" s="159"/>
      <c r="L78" s="77"/>
      <c r="M78" s="77"/>
      <c r="N78" s="77"/>
      <c r="O78" s="77"/>
    </row>
    <row r="79" spans="1:15">
      <c r="E79" s="162"/>
      <c r="F79" s="162"/>
      <c r="G79" s="162"/>
    </row>
    <row r="80" spans="1:15">
      <c r="E80" s="162"/>
      <c r="F80" s="162"/>
      <c r="G80" s="162"/>
    </row>
    <row r="81" spans="1:33">
      <c r="A81" s="441" t="s">
        <v>265</v>
      </c>
      <c r="B81" s="441"/>
      <c r="C81" s="441"/>
      <c r="D81" s="441"/>
      <c r="E81" s="441"/>
      <c r="F81" s="441"/>
      <c r="G81" s="441"/>
      <c r="H81" s="441"/>
      <c r="I81" s="441"/>
      <c r="J81" s="441"/>
      <c r="K81" s="441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33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41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33" ht="18.75" customHeight="1">
      <c r="A83" s="468" t="s">
        <v>40</v>
      </c>
      <c r="B83" s="473" t="s">
        <v>160</v>
      </c>
      <c r="C83" s="474"/>
      <c r="D83" s="475"/>
      <c r="E83" s="442" t="s">
        <v>161</v>
      </c>
      <c r="F83" s="442" t="s">
        <v>232</v>
      </c>
      <c r="G83" s="442" t="s">
        <v>162</v>
      </c>
      <c r="H83" s="487" t="s">
        <v>248</v>
      </c>
      <c r="I83" s="502"/>
      <c r="J83" s="502"/>
      <c r="K83" s="502"/>
      <c r="L83" s="492"/>
      <c r="M83" s="40"/>
      <c r="N83" s="40"/>
      <c r="O83" s="40"/>
      <c r="P83" s="40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1:33" ht="18.75" customHeight="1">
      <c r="A84" s="469"/>
      <c r="B84" s="479"/>
      <c r="C84" s="480"/>
      <c r="D84" s="481"/>
      <c r="E84" s="444"/>
      <c r="F84" s="444"/>
      <c r="G84" s="444"/>
      <c r="H84" s="195" t="s">
        <v>163</v>
      </c>
      <c r="I84" s="187" t="s">
        <v>164</v>
      </c>
      <c r="J84" s="187" t="s">
        <v>28</v>
      </c>
      <c r="K84" s="187" t="s">
        <v>165</v>
      </c>
      <c r="L84" s="73" t="s">
        <v>166</v>
      </c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21"/>
      <c r="Z84" s="21"/>
      <c r="AA84" s="21"/>
      <c r="AB84" s="21"/>
      <c r="AC84" s="21"/>
    </row>
    <row r="85" spans="1:33">
      <c r="A85" s="164">
        <v>1</v>
      </c>
      <c r="B85" s="438">
        <v>2</v>
      </c>
      <c r="C85" s="439"/>
      <c r="D85" s="440"/>
      <c r="E85" s="165">
        <v>3</v>
      </c>
      <c r="F85" s="165">
        <v>4</v>
      </c>
      <c r="G85" s="166">
        <v>5</v>
      </c>
      <c r="H85" s="165">
        <v>6</v>
      </c>
      <c r="I85" s="165">
        <v>7</v>
      </c>
      <c r="J85" s="165">
        <v>8</v>
      </c>
      <c r="K85" s="165">
        <v>9</v>
      </c>
      <c r="L85" s="72">
        <v>10</v>
      </c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54"/>
      <c r="X85" s="54"/>
      <c r="Y85" s="54"/>
      <c r="Z85" s="54"/>
      <c r="AA85" s="54"/>
      <c r="AB85" s="54"/>
      <c r="AC85" s="54"/>
    </row>
    <row r="86" spans="1:33">
      <c r="A86" s="164"/>
      <c r="B86" s="438"/>
      <c r="C86" s="439"/>
      <c r="D86" s="440"/>
      <c r="E86" s="165"/>
      <c r="F86" s="165"/>
      <c r="G86" s="167">
        <f>SUM(H86:L86)</f>
        <v>0</v>
      </c>
      <c r="H86" s="168"/>
      <c r="I86" s="168"/>
      <c r="J86" s="168"/>
      <c r="K86" s="168"/>
      <c r="L86" s="74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</row>
    <row r="87" spans="1:33">
      <c r="A87" s="164"/>
      <c r="B87" s="438"/>
      <c r="C87" s="439"/>
      <c r="D87" s="440"/>
      <c r="E87" s="165"/>
      <c r="F87" s="165"/>
      <c r="G87" s="167">
        <f>SUM(H87:L87)</f>
        <v>0</v>
      </c>
      <c r="H87" s="168"/>
      <c r="I87" s="168"/>
      <c r="J87" s="168"/>
      <c r="K87" s="168"/>
      <c r="L87" s="74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</row>
    <row r="88" spans="1:33">
      <c r="A88" s="164"/>
      <c r="B88" s="438"/>
      <c r="C88" s="439"/>
      <c r="D88" s="440"/>
      <c r="E88" s="165"/>
      <c r="F88" s="165"/>
      <c r="G88" s="167">
        <f>SUM(H88:L88)</f>
        <v>0</v>
      </c>
      <c r="H88" s="168"/>
      <c r="I88" s="168"/>
      <c r="J88" s="168"/>
      <c r="K88" s="168"/>
      <c r="L88" s="74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</row>
    <row r="89" spans="1:33">
      <c r="A89" s="164"/>
      <c r="B89" s="438"/>
      <c r="C89" s="439"/>
      <c r="D89" s="440"/>
      <c r="E89" s="165"/>
      <c r="F89" s="165"/>
      <c r="G89" s="167">
        <f>SUM(H89:L89)</f>
        <v>0</v>
      </c>
      <c r="H89" s="168"/>
      <c r="I89" s="168"/>
      <c r="J89" s="168"/>
      <c r="K89" s="168"/>
      <c r="L89" s="74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</row>
    <row r="90" spans="1:33">
      <c r="A90" s="169" t="s">
        <v>45</v>
      </c>
      <c r="B90" s="471"/>
      <c r="C90" s="472"/>
      <c r="D90" s="440"/>
      <c r="E90" s="136"/>
      <c r="F90" s="170"/>
      <c r="G90" s="171">
        <f>G86+G87+G88+G89</f>
        <v>0</v>
      </c>
      <c r="H90" s="136"/>
      <c r="I90" s="136"/>
      <c r="J90" s="136"/>
      <c r="K90" s="136"/>
      <c r="L90" s="70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1:33" ht="58.5" customHeight="1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27"/>
      <c r="M91" s="28"/>
      <c r="N91" s="28"/>
      <c r="O91" s="28"/>
      <c r="P91" s="28"/>
      <c r="Q91" s="42"/>
      <c r="R91" s="42"/>
      <c r="S91" s="42"/>
      <c r="T91" s="42"/>
      <c r="U91" s="42"/>
      <c r="V91" s="42"/>
      <c r="W91" s="43"/>
      <c r="X91" s="43"/>
      <c r="Y91" s="43"/>
      <c r="Z91" s="43"/>
      <c r="AA91" s="43"/>
      <c r="AB91" s="43"/>
      <c r="AC91" s="43"/>
    </row>
    <row r="92" spans="1:33">
      <c r="A92" s="441" t="s">
        <v>266</v>
      </c>
      <c r="B92" s="441"/>
      <c r="C92" s="441"/>
      <c r="D92" s="441"/>
      <c r="E92" s="441"/>
      <c r="F92" s="441"/>
      <c r="G92" s="441"/>
      <c r="H92" s="441"/>
      <c r="I92" s="441"/>
      <c r="J92" s="196"/>
      <c r="K92" s="196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33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33" ht="18.75" customHeight="1">
      <c r="A94" s="468" t="s">
        <v>40</v>
      </c>
      <c r="B94" s="473" t="s">
        <v>167</v>
      </c>
      <c r="C94" s="474"/>
      <c r="D94" s="475"/>
      <c r="E94" s="442" t="s">
        <v>160</v>
      </c>
      <c r="F94" s="442" t="s">
        <v>232</v>
      </c>
      <c r="G94" s="442" t="s">
        <v>168</v>
      </c>
      <c r="H94" s="487" t="s">
        <v>169</v>
      </c>
      <c r="I94" s="502"/>
      <c r="J94" s="502"/>
      <c r="K94" s="502"/>
      <c r="L94" s="492"/>
      <c r="M94" s="40"/>
      <c r="N94" s="40"/>
      <c r="O94" s="40"/>
      <c r="P94" s="40"/>
      <c r="Q94" s="40"/>
      <c r="R94" s="40"/>
      <c r="S94" s="40"/>
      <c r="T94" s="40"/>
      <c r="U94" s="40"/>
      <c r="V94" s="21"/>
      <c r="W94" s="21"/>
      <c r="X94" s="21"/>
      <c r="Y94" s="21"/>
      <c r="Z94" s="21"/>
      <c r="AA94" s="21"/>
      <c r="AB94" s="21"/>
      <c r="AC94" s="21"/>
      <c r="AG94" s="2" t="s">
        <v>346</v>
      </c>
    </row>
    <row r="95" spans="1:33" ht="18.75" customHeight="1">
      <c r="A95" s="470"/>
      <c r="B95" s="476"/>
      <c r="C95" s="477"/>
      <c r="D95" s="478"/>
      <c r="E95" s="443"/>
      <c r="F95" s="443"/>
      <c r="G95" s="443"/>
      <c r="H95" s="442" t="s">
        <v>170</v>
      </c>
      <c r="I95" s="487" t="s">
        <v>86</v>
      </c>
      <c r="J95" s="502"/>
      <c r="K95" s="502"/>
      <c r="L95" s="492"/>
      <c r="M95" s="40"/>
      <c r="N95" s="40"/>
      <c r="O95" s="40"/>
      <c r="P95" s="40"/>
      <c r="Q95" s="40"/>
      <c r="R95" s="40"/>
      <c r="S95" s="40"/>
      <c r="T95" s="40"/>
      <c r="U95" s="40"/>
      <c r="V95" s="21"/>
      <c r="W95" s="21"/>
      <c r="X95" s="21"/>
      <c r="Y95" s="21"/>
      <c r="Z95" s="21"/>
      <c r="AA95" s="21"/>
      <c r="AB95" s="21"/>
      <c r="AC95" s="21"/>
    </row>
    <row r="96" spans="1:33">
      <c r="A96" s="469"/>
      <c r="B96" s="479"/>
      <c r="C96" s="480"/>
      <c r="D96" s="481"/>
      <c r="E96" s="444"/>
      <c r="F96" s="444"/>
      <c r="G96" s="444"/>
      <c r="H96" s="444"/>
      <c r="I96" s="187" t="s">
        <v>249</v>
      </c>
      <c r="J96" s="187" t="s">
        <v>250</v>
      </c>
      <c r="K96" s="187" t="s">
        <v>251</v>
      </c>
      <c r="L96" s="7" t="s">
        <v>252</v>
      </c>
      <c r="M96" s="40"/>
      <c r="N96" s="40"/>
      <c r="O96" s="40"/>
      <c r="P96" s="40"/>
      <c r="Q96" s="40"/>
      <c r="R96" s="40"/>
      <c r="S96" s="40"/>
      <c r="T96" s="40"/>
      <c r="U96" s="40"/>
      <c r="V96" s="21"/>
      <c r="W96" s="21"/>
      <c r="X96" s="21"/>
      <c r="Y96" s="21"/>
      <c r="Z96" s="21"/>
      <c r="AA96" s="21"/>
      <c r="AB96" s="21"/>
      <c r="AC96" s="21"/>
    </row>
    <row r="97" spans="1:29">
      <c r="A97" s="164">
        <v>1</v>
      </c>
      <c r="B97" s="438">
        <v>2</v>
      </c>
      <c r="C97" s="439"/>
      <c r="D97" s="440"/>
      <c r="E97" s="165">
        <v>3</v>
      </c>
      <c r="F97" s="165">
        <v>4</v>
      </c>
      <c r="G97" s="165">
        <v>5</v>
      </c>
      <c r="H97" s="165">
        <v>6</v>
      </c>
      <c r="I97" s="165">
        <v>7</v>
      </c>
      <c r="J97" s="165">
        <v>8</v>
      </c>
      <c r="K97" s="165">
        <v>9</v>
      </c>
      <c r="L97" s="69">
        <v>10</v>
      </c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54"/>
      <c r="Y97" s="54"/>
      <c r="Z97" s="54"/>
      <c r="AA97" s="54"/>
      <c r="AB97" s="54"/>
      <c r="AC97" s="54"/>
    </row>
    <row r="98" spans="1:29">
      <c r="A98" s="173"/>
      <c r="B98" s="455"/>
      <c r="C98" s="456"/>
      <c r="D98" s="457"/>
      <c r="E98" s="174"/>
      <c r="F98" s="174"/>
      <c r="G98" s="174"/>
      <c r="H98" s="175">
        <f>SUM(I98:L98)</f>
        <v>0</v>
      </c>
      <c r="I98" s="168"/>
      <c r="J98" s="168"/>
      <c r="K98" s="168"/>
      <c r="L98" s="75"/>
      <c r="M98" s="81"/>
      <c r="N98" s="81"/>
      <c r="O98" s="81"/>
      <c r="P98" s="81"/>
      <c r="Q98" s="82"/>
      <c r="R98" s="82"/>
      <c r="S98" s="82"/>
      <c r="T98" s="82"/>
      <c r="U98" s="82"/>
      <c r="V98" s="80"/>
      <c r="W98" s="80"/>
      <c r="X98" s="80"/>
      <c r="Y98" s="80"/>
      <c r="Z98" s="80"/>
      <c r="AA98" s="80"/>
      <c r="AB98" s="80"/>
      <c r="AC98" s="80"/>
    </row>
    <row r="99" spans="1:29">
      <c r="A99" s="173"/>
      <c r="B99" s="455"/>
      <c r="C99" s="456"/>
      <c r="D99" s="457"/>
      <c r="E99" s="174"/>
      <c r="F99" s="174"/>
      <c r="G99" s="174"/>
      <c r="H99" s="175">
        <f>SUM(I99:L99)</f>
        <v>0</v>
      </c>
      <c r="I99" s="168"/>
      <c r="J99" s="168"/>
      <c r="K99" s="168"/>
      <c r="L99" s="75"/>
      <c r="M99" s="81"/>
      <c r="N99" s="81"/>
      <c r="O99" s="81"/>
      <c r="P99" s="81"/>
      <c r="Q99" s="82"/>
      <c r="R99" s="82"/>
      <c r="S99" s="82"/>
      <c r="T99" s="82"/>
      <c r="U99" s="82"/>
      <c r="V99" s="80"/>
      <c r="W99" s="80"/>
      <c r="X99" s="80"/>
      <c r="Y99" s="80"/>
      <c r="Z99" s="80"/>
      <c r="AA99" s="80"/>
      <c r="AB99" s="80"/>
      <c r="AC99" s="80"/>
    </row>
    <row r="100" spans="1:29">
      <c r="A100" s="173"/>
      <c r="B100" s="455"/>
      <c r="C100" s="456"/>
      <c r="D100" s="457"/>
      <c r="E100" s="174"/>
      <c r="F100" s="174"/>
      <c r="G100" s="174"/>
      <c r="H100" s="175">
        <f>SUM(I100:L100)</f>
        <v>0</v>
      </c>
      <c r="I100" s="168"/>
      <c r="J100" s="168"/>
      <c r="K100" s="168"/>
      <c r="L100" s="75"/>
      <c r="M100" s="81"/>
      <c r="N100" s="81"/>
      <c r="O100" s="81"/>
      <c r="P100" s="81"/>
      <c r="Q100" s="82"/>
      <c r="R100" s="82"/>
      <c r="S100" s="82"/>
      <c r="T100" s="82"/>
      <c r="U100" s="82"/>
      <c r="V100" s="80"/>
      <c r="W100" s="80"/>
      <c r="X100" s="80"/>
      <c r="Y100" s="80"/>
      <c r="Z100" s="80"/>
      <c r="AA100" s="80"/>
      <c r="AB100" s="80"/>
      <c r="AC100" s="80"/>
    </row>
    <row r="101" spans="1:29">
      <c r="A101" s="173"/>
      <c r="B101" s="455"/>
      <c r="C101" s="456"/>
      <c r="D101" s="457"/>
      <c r="E101" s="174"/>
      <c r="F101" s="174"/>
      <c r="G101" s="174"/>
      <c r="H101" s="175">
        <f>SUM(I101:L101)</f>
        <v>0</v>
      </c>
      <c r="I101" s="168"/>
      <c r="J101" s="168"/>
      <c r="K101" s="168"/>
      <c r="L101" s="75"/>
      <c r="M101" s="81"/>
      <c r="N101" s="81"/>
      <c r="O101" s="81"/>
      <c r="P101" s="81"/>
      <c r="Q101" s="82"/>
      <c r="R101" s="82"/>
      <c r="S101" s="82"/>
      <c r="T101" s="82"/>
      <c r="U101" s="82"/>
      <c r="V101" s="80"/>
      <c r="W101" s="80"/>
      <c r="X101" s="80"/>
      <c r="Y101" s="80"/>
      <c r="Z101" s="80"/>
      <c r="AA101" s="80"/>
      <c r="AB101" s="80"/>
      <c r="AC101" s="80"/>
    </row>
    <row r="102" spans="1:29">
      <c r="A102" s="169" t="s">
        <v>45</v>
      </c>
      <c r="B102" s="462"/>
      <c r="C102" s="463"/>
      <c r="D102" s="457"/>
      <c r="E102" s="169"/>
      <c r="F102" s="169"/>
      <c r="G102" s="169"/>
      <c r="H102" s="176">
        <f>H98+H99+H100+H101</f>
        <v>0</v>
      </c>
      <c r="I102" s="169"/>
      <c r="J102" s="169"/>
      <c r="K102" s="169"/>
      <c r="L102" s="76"/>
      <c r="M102" s="20"/>
      <c r="N102" s="20"/>
      <c r="O102" s="20"/>
      <c r="P102" s="20"/>
      <c r="Q102" s="20"/>
      <c r="R102" s="20"/>
      <c r="S102" s="20"/>
      <c r="T102" s="20"/>
      <c r="U102" s="20"/>
      <c r="V102" s="77"/>
      <c r="W102" s="77"/>
      <c r="X102" s="77"/>
      <c r="Y102" s="77"/>
      <c r="Z102" s="77"/>
      <c r="AA102" s="77"/>
      <c r="AB102" s="77"/>
      <c r="AC102" s="77"/>
    </row>
    <row r="103" spans="1:29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21"/>
      <c r="M103" s="21"/>
      <c r="N103" s="21"/>
      <c r="O103" s="21"/>
      <c r="Q103" s="24"/>
      <c r="R103" s="24"/>
      <c r="S103" s="24"/>
      <c r="T103" s="24"/>
      <c r="U103" s="24"/>
      <c r="AC103" s="24"/>
    </row>
    <row r="104" spans="1:29">
      <c r="A104" s="441" t="s">
        <v>244</v>
      </c>
      <c r="B104" s="441"/>
      <c r="C104" s="441"/>
      <c r="D104" s="441"/>
      <c r="E104" s="441"/>
      <c r="F104" s="441"/>
      <c r="G104" s="441"/>
      <c r="H104" s="196"/>
      <c r="I104" s="196"/>
      <c r="J104" s="196"/>
      <c r="K104" s="196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</row>
    <row r="105" spans="1:29">
      <c r="A105" s="177"/>
      <c r="B105" s="177"/>
      <c r="C105" s="177"/>
      <c r="D105" s="177"/>
      <c r="E105" s="177"/>
      <c r="F105" s="177"/>
      <c r="G105" s="177"/>
      <c r="H105" s="177"/>
      <c r="I105" s="178"/>
      <c r="J105" s="178"/>
      <c r="K105" s="178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22"/>
      <c r="W105" s="506" t="s">
        <v>186</v>
      </c>
      <c r="X105" s="506"/>
      <c r="Y105" s="506"/>
      <c r="Z105" s="506"/>
      <c r="AA105" s="506"/>
      <c r="AB105" s="506"/>
      <c r="AC105" s="506"/>
    </row>
    <row r="106" spans="1:29" ht="18.75" customHeight="1">
      <c r="A106" s="449" t="s">
        <v>40</v>
      </c>
      <c r="B106" s="423" t="s">
        <v>187</v>
      </c>
      <c r="C106" s="424"/>
      <c r="D106" s="425"/>
      <c r="E106" s="432" t="s">
        <v>44</v>
      </c>
      <c r="F106" s="433"/>
      <c r="G106" s="433"/>
      <c r="H106" s="433"/>
      <c r="I106" s="445"/>
      <c r="J106" s="487" t="s">
        <v>78</v>
      </c>
      <c r="K106" s="502"/>
      <c r="L106" s="502"/>
      <c r="M106" s="502"/>
      <c r="N106" s="492"/>
      <c r="O106" s="487" t="s">
        <v>207</v>
      </c>
      <c r="P106" s="502"/>
      <c r="Q106" s="502"/>
      <c r="R106" s="502"/>
      <c r="S106" s="492"/>
      <c r="T106" s="487" t="s">
        <v>113</v>
      </c>
      <c r="U106" s="502"/>
      <c r="V106" s="502"/>
      <c r="W106" s="502"/>
      <c r="X106" s="492"/>
      <c r="Y106" s="391" t="s">
        <v>45</v>
      </c>
      <c r="Z106" s="391"/>
      <c r="AA106" s="391"/>
      <c r="AB106" s="391"/>
      <c r="AC106" s="391"/>
    </row>
    <row r="107" spans="1:29">
      <c r="A107" s="449"/>
      <c r="B107" s="464"/>
      <c r="C107" s="465"/>
      <c r="D107" s="428"/>
      <c r="E107" s="442" t="s">
        <v>117</v>
      </c>
      <c r="F107" s="432" t="s">
        <v>86</v>
      </c>
      <c r="G107" s="433"/>
      <c r="H107" s="433"/>
      <c r="I107" s="445"/>
      <c r="J107" s="442" t="s">
        <v>117</v>
      </c>
      <c r="K107" s="487" t="s">
        <v>86</v>
      </c>
      <c r="L107" s="504"/>
      <c r="M107" s="504"/>
      <c r="N107" s="505"/>
      <c r="O107" s="398" t="s">
        <v>117</v>
      </c>
      <c r="P107" s="487" t="s">
        <v>86</v>
      </c>
      <c r="Q107" s="502"/>
      <c r="R107" s="502"/>
      <c r="S107" s="492"/>
      <c r="T107" s="398" t="s">
        <v>117</v>
      </c>
      <c r="U107" s="487" t="s">
        <v>86</v>
      </c>
      <c r="V107" s="502"/>
      <c r="W107" s="502"/>
      <c r="X107" s="492"/>
      <c r="Y107" s="391" t="s">
        <v>117</v>
      </c>
      <c r="Z107" s="391" t="s">
        <v>86</v>
      </c>
      <c r="AA107" s="391"/>
      <c r="AB107" s="391"/>
      <c r="AC107" s="391"/>
    </row>
    <row r="108" spans="1:29">
      <c r="A108" s="449"/>
      <c r="B108" s="466"/>
      <c r="C108" s="467"/>
      <c r="D108" s="431"/>
      <c r="E108" s="454"/>
      <c r="F108" s="187" t="s">
        <v>253</v>
      </c>
      <c r="G108" s="187" t="s">
        <v>250</v>
      </c>
      <c r="H108" s="187" t="s">
        <v>251</v>
      </c>
      <c r="I108" s="187" t="s">
        <v>252</v>
      </c>
      <c r="J108" s="454"/>
      <c r="K108" s="187" t="s">
        <v>253</v>
      </c>
      <c r="L108" s="7" t="s">
        <v>250</v>
      </c>
      <c r="M108" s="7" t="s">
        <v>251</v>
      </c>
      <c r="N108" s="7" t="s">
        <v>252</v>
      </c>
      <c r="O108" s="503"/>
      <c r="P108" s="7" t="s">
        <v>65</v>
      </c>
      <c r="Q108" s="7" t="s">
        <v>66</v>
      </c>
      <c r="R108" s="7" t="s">
        <v>64</v>
      </c>
      <c r="S108" s="7" t="s">
        <v>61</v>
      </c>
      <c r="T108" s="503"/>
      <c r="U108" s="7" t="s">
        <v>65</v>
      </c>
      <c r="V108" s="7" t="s">
        <v>66</v>
      </c>
      <c r="W108" s="7" t="s">
        <v>64</v>
      </c>
      <c r="X108" s="7" t="s">
        <v>61</v>
      </c>
      <c r="Y108" s="391"/>
      <c r="Z108" s="7" t="s">
        <v>65</v>
      </c>
      <c r="AA108" s="7" t="s">
        <v>66</v>
      </c>
      <c r="AB108" s="7" t="s">
        <v>64</v>
      </c>
      <c r="AC108" s="7" t="s">
        <v>61</v>
      </c>
    </row>
    <row r="109" spans="1:29">
      <c r="A109" s="187">
        <v>1</v>
      </c>
      <c r="B109" s="432">
        <v>2</v>
      </c>
      <c r="C109" s="433"/>
      <c r="D109" s="434"/>
      <c r="E109" s="187">
        <v>3</v>
      </c>
      <c r="F109" s="187">
        <v>4</v>
      </c>
      <c r="G109" s="187">
        <v>5</v>
      </c>
      <c r="H109" s="187">
        <v>6</v>
      </c>
      <c r="I109" s="187">
        <v>7</v>
      </c>
      <c r="J109" s="187">
        <v>8</v>
      </c>
      <c r="K109" s="187">
        <v>9</v>
      </c>
      <c r="L109" s="7">
        <v>10</v>
      </c>
      <c r="M109" s="7">
        <v>11</v>
      </c>
      <c r="N109" s="7">
        <v>12</v>
      </c>
      <c r="O109" s="7">
        <v>13</v>
      </c>
      <c r="P109" s="7">
        <v>14</v>
      </c>
      <c r="Q109" s="7">
        <v>15</v>
      </c>
      <c r="R109" s="7">
        <v>16</v>
      </c>
      <c r="S109" s="7">
        <v>17</v>
      </c>
      <c r="T109" s="7">
        <v>18</v>
      </c>
      <c r="U109" s="7">
        <v>19</v>
      </c>
      <c r="V109" s="6">
        <v>20</v>
      </c>
      <c r="W109" s="6">
        <v>21</v>
      </c>
      <c r="X109" s="6">
        <v>22</v>
      </c>
      <c r="Y109" s="6">
        <v>23</v>
      </c>
      <c r="Z109" s="6">
        <v>24</v>
      </c>
      <c r="AA109" s="6">
        <v>25</v>
      </c>
      <c r="AB109" s="6">
        <v>26</v>
      </c>
      <c r="AC109" s="6">
        <v>27</v>
      </c>
    </row>
    <row r="110" spans="1:29">
      <c r="A110" s="193">
        <v>1</v>
      </c>
      <c r="B110" s="458"/>
      <c r="C110" s="459"/>
      <c r="D110" s="419"/>
      <c r="E110" s="175">
        <f>F110+G110+H110+I110</f>
        <v>0</v>
      </c>
      <c r="F110" s="179"/>
      <c r="G110" s="179"/>
      <c r="H110" s="180"/>
      <c r="I110" s="180"/>
      <c r="J110" s="181">
        <f>K110+L110+M110+N110</f>
        <v>0</v>
      </c>
      <c r="K110" s="181"/>
      <c r="L110" s="103"/>
      <c r="M110" s="103"/>
      <c r="N110" s="103"/>
      <c r="O110" s="103">
        <f>P110+Q110+R110+S110</f>
        <v>0</v>
      </c>
      <c r="P110" s="104"/>
      <c r="Q110" s="104"/>
      <c r="R110" s="104"/>
      <c r="S110" s="104"/>
      <c r="T110" s="103">
        <f>U110+V110+W110+X110</f>
        <v>0</v>
      </c>
      <c r="U110" s="104"/>
      <c r="V110" s="104"/>
      <c r="W110" s="104"/>
      <c r="X110" s="104"/>
      <c r="Y110" s="12">
        <f t="shared" ref="Y110:AC114" si="5">E110+J110+O110+T110</f>
        <v>0</v>
      </c>
      <c r="Z110" s="94">
        <f t="shared" si="5"/>
        <v>0</v>
      </c>
      <c r="AA110" s="94">
        <f t="shared" si="5"/>
        <v>0</v>
      </c>
      <c r="AB110" s="94">
        <f t="shared" si="5"/>
        <v>0</v>
      </c>
      <c r="AC110" s="94">
        <f t="shared" si="5"/>
        <v>0</v>
      </c>
    </row>
    <row r="111" spans="1:29">
      <c r="A111" s="193"/>
      <c r="B111" s="460"/>
      <c r="C111" s="461"/>
      <c r="D111" s="434"/>
      <c r="E111" s="175">
        <f>F111+G111+H111+I111</f>
        <v>0</v>
      </c>
      <c r="F111" s="179"/>
      <c r="G111" s="179"/>
      <c r="H111" s="180"/>
      <c r="I111" s="180"/>
      <c r="J111" s="181">
        <f>K111+L111+M111+N111</f>
        <v>0</v>
      </c>
      <c r="K111" s="181"/>
      <c r="L111" s="103"/>
      <c r="M111" s="103"/>
      <c r="N111" s="103"/>
      <c r="O111" s="103">
        <f>P111+Q111+R111+S111</f>
        <v>0</v>
      </c>
      <c r="P111" s="104"/>
      <c r="Q111" s="104"/>
      <c r="R111" s="104"/>
      <c r="S111" s="104"/>
      <c r="T111" s="103">
        <f>U111+V111+W111+X111</f>
        <v>0</v>
      </c>
      <c r="U111" s="104"/>
      <c r="V111" s="104"/>
      <c r="W111" s="104"/>
      <c r="X111" s="104"/>
      <c r="Y111" s="12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0</v>
      </c>
      <c r="AC111" s="94">
        <f t="shared" si="5"/>
        <v>0</v>
      </c>
    </row>
    <row r="112" spans="1:29">
      <c r="A112" s="193"/>
      <c r="B112" s="460"/>
      <c r="C112" s="461"/>
      <c r="D112" s="434"/>
      <c r="E112" s="175">
        <f>F112+G112+H112+I112</f>
        <v>0</v>
      </c>
      <c r="F112" s="179"/>
      <c r="G112" s="179"/>
      <c r="H112" s="180"/>
      <c r="I112" s="180"/>
      <c r="J112" s="181">
        <f>K112+L112+M112+N112</f>
        <v>0</v>
      </c>
      <c r="K112" s="181"/>
      <c r="L112" s="103"/>
      <c r="M112" s="103"/>
      <c r="N112" s="103"/>
      <c r="O112" s="103">
        <f>P112+Q112+R112+S112</f>
        <v>0</v>
      </c>
      <c r="P112" s="104"/>
      <c r="Q112" s="104"/>
      <c r="R112" s="104"/>
      <c r="S112" s="104"/>
      <c r="T112" s="103">
        <f>U112+V112+W112+X112</f>
        <v>0</v>
      </c>
      <c r="U112" s="104"/>
      <c r="V112" s="104"/>
      <c r="W112" s="104"/>
      <c r="X112" s="104"/>
      <c r="Y112" s="12">
        <f t="shared" si="5"/>
        <v>0</v>
      </c>
      <c r="Z112" s="94">
        <f t="shared" si="5"/>
        <v>0</v>
      </c>
      <c r="AA112" s="94">
        <f t="shared" si="5"/>
        <v>0</v>
      </c>
      <c r="AB112" s="94">
        <f t="shared" si="5"/>
        <v>0</v>
      </c>
      <c r="AC112" s="94">
        <f t="shared" si="5"/>
        <v>0</v>
      </c>
    </row>
    <row r="113" spans="1:33">
      <c r="A113" s="193"/>
      <c r="B113" s="460"/>
      <c r="C113" s="461"/>
      <c r="D113" s="434"/>
      <c r="E113" s="175">
        <f>F113+G113+H113+I113</f>
        <v>0</v>
      </c>
      <c r="F113" s="179"/>
      <c r="G113" s="179"/>
      <c r="H113" s="180"/>
      <c r="I113" s="180"/>
      <c r="J113" s="181">
        <f>K113+L113+M113+N113</f>
        <v>0</v>
      </c>
      <c r="K113" s="181"/>
      <c r="L113" s="103"/>
      <c r="M113" s="103"/>
      <c r="N113" s="103"/>
      <c r="O113" s="103">
        <f>P113+Q113+R113+S113</f>
        <v>0</v>
      </c>
      <c r="P113" s="104"/>
      <c r="Q113" s="104"/>
      <c r="R113" s="104"/>
      <c r="S113" s="104"/>
      <c r="T113" s="103">
        <f>U113+V113+W113+X113</f>
        <v>0</v>
      </c>
      <c r="U113" s="104"/>
      <c r="V113" s="104"/>
      <c r="W113" s="104"/>
      <c r="X113" s="104"/>
      <c r="Y113" s="12">
        <f t="shared" si="5"/>
        <v>0</v>
      </c>
      <c r="Z113" s="94">
        <f t="shared" si="5"/>
        <v>0</v>
      </c>
      <c r="AA113" s="94">
        <f t="shared" si="5"/>
        <v>0</v>
      </c>
      <c r="AB113" s="94">
        <f t="shared" si="5"/>
        <v>0</v>
      </c>
      <c r="AC113" s="94">
        <f t="shared" si="5"/>
        <v>0</v>
      </c>
    </row>
    <row r="114" spans="1:33">
      <c r="A114" s="182" t="s">
        <v>45</v>
      </c>
      <c r="B114" s="435"/>
      <c r="C114" s="436"/>
      <c r="D114" s="419"/>
      <c r="E114" s="123">
        <f>SUM(E110:E113)</f>
        <v>0</v>
      </c>
      <c r="F114" s="182"/>
      <c r="G114" s="182"/>
      <c r="H114" s="193"/>
      <c r="I114" s="193"/>
      <c r="J114" s="112">
        <f>SUM(J110:J113)</f>
        <v>0</v>
      </c>
      <c r="K114" s="112"/>
      <c r="L114" s="12"/>
      <c r="M114" s="12"/>
      <c r="N114" s="12"/>
      <c r="O114" s="12">
        <f>SUM(O110:O113)</f>
        <v>0</v>
      </c>
      <c r="P114" s="12"/>
      <c r="Q114" s="12"/>
      <c r="R114" s="12">
        <f>SUM(R110:R113)</f>
        <v>0</v>
      </c>
      <c r="S114" s="12"/>
      <c r="T114" s="12">
        <f>SUM(T110:T113)</f>
        <v>0</v>
      </c>
      <c r="U114" s="93"/>
      <c r="V114" s="93"/>
      <c r="W114" s="93"/>
      <c r="X114" s="93"/>
      <c r="Y114" s="12">
        <f t="shared" si="5"/>
        <v>0</v>
      </c>
      <c r="Z114" s="94">
        <f t="shared" si="5"/>
        <v>0</v>
      </c>
      <c r="AA114" s="94">
        <f t="shared" si="5"/>
        <v>0</v>
      </c>
      <c r="AB114" s="94">
        <f t="shared" si="5"/>
        <v>0</v>
      </c>
      <c r="AC114" s="94">
        <f t="shared" si="5"/>
        <v>0</v>
      </c>
    </row>
    <row r="115" spans="1:33">
      <c r="A115" s="121" t="s">
        <v>46</v>
      </c>
      <c r="B115" s="417"/>
      <c r="C115" s="418"/>
      <c r="D115" s="419"/>
      <c r="E115" s="121"/>
      <c r="F115" s="121"/>
      <c r="G115" s="187"/>
      <c r="H115" s="183"/>
      <c r="I115" s="183"/>
      <c r="J115" s="183"/>
      <c r="K115" s="183"/>
      <c r="L115" s="106"/>
      <c r="M115" s="106"/>
      <c r="N115" s="67"/>
      <c r="O115" s="67"/>
      <c r="P115" s="67"/>
      <c r="Q115" s="106"/>
      <c r="R115" s="106"/>
      <c r="S115" s="67"/>
      <c r="T115" s="67"/>
      <c r="U115" s="67"/>
      <c r="V115" s="106"/>
      <c r="W115" s="68"/>
      <c r="X115" s="68"/>
      <c r="Y115" s="106"/>
      <c r="Z115" s="68"/>
      <c r="AA115" s="68"/>
      <c r="AB115" s="68"/>
      <c r="AC115" s="68"/>
    </row>
    <row r="116" spans="1:33" ht="18.75" customHeight="1">
      <c r="F116" s="120"/>
      <c r="G116" s="184"/>
      <c r="H116" s="184"/>
      <c r="I116" s="184"/>
    </row>
    <row r="117" spans="1:33">
      <c r="A117" s="124" t="s">
        <v>269</v>
      </c>
    </row>
    <row r="118" spans="1:33">
      <c r="A118" s="124"/>
    </row>
    <row r="119" spans="1:33">
      <c r="A119" s="124"/>
      <c r="U119" s="2" t="s">
        <v>283</v>
      </c>
    </row>
    <row r="120" spans="1:33" ht="18.75" customHeight="1">
      <c r="A120" s="452" t="s">
        <v>40</v>
      </c>
      <c r="B120" s="423" t="s">
        <v>273</v>
      </c>
      <c r="C120" s="424"/>
      <c r="D120" s="425"/>
      <c r="E120" s="442" t="s">
        <v>274</v>
      </c>
      <c r="F120" s="442" t="s">
        <v>275</v>
      </c>
      <c r="G120" s="442" t="s">
        <v>270</v>
      </c>
      <c r="H120" s="442" t="s">
        <v>271</v>
      </c>
      <c r="I120" s="487" t="s">
        <v>117</v>
      </c>
      <c r="J120" s="502"/>
      <c r="K120" s="502"/>
      <c r="L120" s="502"/>
      <c r="M120" s="492"/>
      <c r="N120" s="512" t="s">
        <v>276</v>
      </c>
      <c r="O120" s="513"/>
      <c r="P120" s="514"/>
      <c r="Q120" s="391" t="s">
        <v>277</v>
      </c>
      <c r="R120" s="391"/>
      <c r="S120" s="391"/>
      <c r="T120" s="391"/>
      <c r="U120" s="391"/>
      <c r="V120" s="39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</row>
    <row r="121" spans="1:33">
      <c r="A121" s="452"/>
      <c r="B121" s="426"/>
      <c r="C121" s="427"/>
      <c r="D121" s="428"/>
      <c r="E121" s="453"/>
      <c r="F121" s="453"/>
      <c r="G121" s="453"/>
      <c r="H121" s="453"/>
      <c r="I121" s="442" t="s">
        <v>272</v>
      </c>
      <c r="J121" s="442" t="s">
        <v>278</v>
      </c>
      <c r="K121" s="487" t="s">
        <v>282</v>
      </c>
      <c r="L121" s="504"/>
      <c r="M121" s="505"/>
      <c r="N121" s="515"/>
      <c r="O121" s="516"/>
      <c r="P121" s="517"/>
      <c r="Q121" s="391"/>
      <c r="R121" s="391"/>
      <c r="S121" s="391"/>
      <c r="T121" s="391"/>
      <c r="U121" s="391"/>
      <c r="V121" s="39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</row>
    <row r="122" spans="1:33" ht="255" customHeight="1">
      <c r="A122" s="452"/>
      <c r="B122" s="429"/>
      <c r="C122" s="430"/>
      <c r="D122" s="431"/>
      <c r="E122" s="454"/>
      <c r="F122" s="454"/>
      <c r="G122" s="454"/>
      <c r="H122" s="454"/>
      <c r="I122" s="454"/>
      <c r="J122" s="454"/>
      <c r="K122" s="195" t="s">
        <v>279</v>
      </c>
      <c r="L122" s="7" t="s">
        <v>280</v>
      </c>
      <c r="M122" s="7" t="s">
        <v>281</v>
      </c>
      <c r="N122" s="518"/>
      <c r="O122" s="519"/>
      <c r="P122" s="520"/>
      <c r="Q122" s="391"/>
      <c r="R122" s="391"/>
      <c r="S122" s="391"/>
      <c r="T122" s="391"/>
      <c r="U122" s="391"/>
      <c r="V122" s="39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:33">
      <c r="A123" s="190">
        <v>1</v>
      </c>
      <c r="B123" s="432">
        <v>2</v>
      </c>
      <c r="C123" s="433"/>
      <c r="D123" s="434"/>
      <c r="E123" s="187">
        <v>3</v>
      </c>
      <c r="F123" s="187">
        <v>4</v>
      </c>
      <c r="G123" s="187">
        <v>5</v>
      </c>
      <c r="H123" s="187">
        <v>6</v>
      </c>
      <c r="I123" s="187">
        <v>7</v>
      </c>
      <c r="J123" s="187">
        <v>8</v>
      </c>
      <c r="K123" s="187">
        <v>9</v>
      </c>
      <c r="L123" s="7">
        <v>10</v>
      </c>
      <c r="M123" s="7">
        <v>11</v>
      </c>
      <c r="N123" s="487">
        <v>12</v>
      </c>
      <c r="O123" s="507"/>
      <c r="P123" s="488"/>
      <c r="Q123" s="487">
        <v>13</v>
      </c>
      <c r="R123" s="502"/>
      <c r="S123" s="508"/>
      <c r="T123" s="508"/>
      <c r="U123" s="508"/>
      <c r="V123" s="509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spans="1:33" ht="18.75" customHeight="1">
      <c r="A124" s="193"/>
      <c r="B124" s="435"/>
      <c r="C124" s="436"/>
      <c r="D124" s="419"/>
      <c r="E124" s="193"/>
      <c r="F124" s="193"/>
      <c r="G124" s="193"/>
      <c r="H124" s="193"/>
      <c r="I124" s="193"/>
      <c r="J124" s="193"/>
      <c r="K124" s="193"/>
      <c r="L124" s="65"/>
      <c r="M124" s="65"/>
      <c r="N124" s="510"/>
      <c r="O124" s="507"/>
      <c r="P124" s="488"/>
      <c r="Q124" s="510"/>
      <c r="R124" s="511"/>
      <c r="S124" s="507"/>
      <c r="T124" s="507"/>
      <c r="U124" s="507"/>
      <c r="V124" s="488"/>
      <c r="W124" s="109"/>
      <c r="X124" s="109"/>
      <c r="Y124" s="109"/>
      <c r="Z124" s="109"/>
      <c r="AA124" s="109"/>
      <c r="AB124" s="110"/>
      <c r="AC124" s="110"/>
      <c r="AD124" s="110"/>
      <c r="AE124" s="110"/>
      <c r="AF124" s="110"/>
      <c r="AG124" s="110"/>
    </row>
    <row r="125" spans="1:33">
      <c r="A125" s="193"/>
      <c r="B125" s="435"/>
      <c r="C125" s="436"/>
      <c r="D125" s="419"/>
      <c r="E125" s="193"/>
      <c r="F125" s="193"/>
      <c r="G125" s="193"/>
      <c r="H125" s="193"/>
      <c r="I125" s="193"/>
      <c r="J125" s="193"/>
      <c r="K125" s="193"/>
      <c r="L125" s="65"/>
      <c r="M125" s="65"/>
      <c r="N125" s="510"/>
      <c r="O125" s="507"/>
      <c r="P125" s="488"/>
      <c r="Q125" s="510"/>
      <c r="R125" s="511"/>
      <c r="S125" s="507"/>
      <c r="T125" s="507"/>
      <c r="U125" s="507"/>
      <c r="V125" s="488"/>
      <c r="W125" s="109"/>
      <c r="X125" s="109"/>
      <c r="Y125" s="109"/>
      <c r="Z125" s="109"/>
      <c r="AA125" s="109"/>
      <c r="AB125" s="110"/>
      <c r="AC125" s="110"/>
      <c r="AD125" s="110"/>
      <c r="AE125" s="110"/>
      <c r="AF125" s="110"/>
      <c r="AG125" s="110"/>
    </row>
    <row r="126" spans="1:33">
      <c r="A126" s="121" t="s">
        <v>45</v>
      </c>
      <c r="B126" s="417"/>
      <c r="C126" s="418"/>
      <c r="D126" s="419"/>
      <c r="E126" s="121"/>
      <c r="F126" s="121"/>
      <c r="G126" s="187"/>
      <c r="H126" s="187"/>
      <c r="I126" s="187"/>
      <c r="J126" s="187"/>
      <c r="K126" s="187"/>
      <c r="L126" s="7"/>
      <c r="M126" s="7"/>
      <c r="N126" s="487"/>
      <c r="O126" s="507"/>
      <c r="P126" s="488"/>
      <c r="Q126" s="487"/>
      <c r="R126" s="502"/>
      <c r="S126" s="507"/>
      <c r="T126" s="507"/>
      <c r="U126" s="507"/>
      <c r="V126" s="488"/>
      <c r="W126" s="109"/>
      <c r="X126" s="109"/>
      <c r="Y126" s="109"/>
      <c r="Z126" s="109"/>
      <c r="AA126" s="109"/>
      <c r="AB126" s="110"/>
      <c r="AC126" s="110"/>
      <c r="AD126" s="110"/>
      <c r="AE126" s="110"/>
      <c r="AF126" s="110"/>
      <c r="AG126" s="110"/>
    </row>
    <row r="129" spans="1:10">
      <c r="A129" s="199" t="s">
        <v>345</v>
      </c>
      <c r="B129" s="129"/>
      <c r="C129" s="129"/>
      <c r="D129" s="129"/>
      <c r="E129" s="521" t="s">
        <v>93</v>
      </c>
      <c r="F129" s="522"/>
      <c r="G129" s="185"/>
      <c r="H129" s="523" t="s">
        <v>343</v>
      </c>
      <c r="I129" s="523"/>
      <c r="J129" s="523"/>
    </row>
    <row r="130" spans="1:10">
      <c r="A130" s="188" t="s">
        <v>68</v>
      </c>
      <c r="B130" s="120"/>
      <c r="C130" s="120"/>
      <c r="D130" s="120"/>
      <c r="E130" s="494" t="s">
        <v>69</v>
      </c>
      <c r="F130" s="494"/>
      <c r="G130" s="186"/>
      <c r="H130" s="495" t="s">
        <v>89</v>
      </c>
      <c r="I130" s="495"/>
      <c r="J130" s="495"/>
    </row>
  </sheetData>
  <mergeCells count="172">
    <mergeCell ref="E129:F129"/>
    <mergeCell ref="H129:J129"/>
    <mergeCell ref="E130:F130"/>
    <mergeCell ref="H130:J130"/>
    <mergeCell ref="B125:D125"/>
    <mergeCell ref="N125:P125"/>
    <mergeCell ref="Q125:V125"/>
    <mergeCell ref="B126:D126"/>
    <mergeCell ref="N126:P126"/>
    <mergeCell ref="Q126:V126"/>
    <mergeCell ref="B123:D123"/>
    <mergeCell ref="N123:P123"/>
    <mergeCell ref="Q123:V123"/>
    <mergeCell ref="B124:D124"/>
    <mergeCell ref="N124:P124"/>
    <mergeCell ref="Q124:V124"/>
    <mergeCell ref="H120:H122"/>
    <mergeCell ref="I120:M120"/>
    <mergeCell ref="N120:P122"/>
    <mergeCell ref="Q120:V122"/>
    <mergeCell ref="I121:I122"/>
    <mergeCell ref="J121:J122"/>
    <mergeCell ref="K121:M121"/>
    <mergeCell ref="B112:D112"/>
    <mergeCell ref="B113:D113"/>
    <mergeCell ref="B114:D114"/>
    <mergeCell ref="B115:D115"/>
    <mergeCell ref="A120:A122"/>
    <mergeCell ref="B120:D122"/>
    <mergeCell ref="E120:E122"/>
    <mergeCell ref="F120:F122"/>
    <mergeCell ref="G120:G122"/>
    <mergeCell ref="Z107:AC107"/>
    <mergeCell ref="B109:D109"/>
    <mergeCell ref="B110:D110"/>
    <mergeCell ref="B111:D111"/>
    <mergeCell ref="F107:I107"/>
    <mergeCell ref="J107:J108"/>
    <mergeCell ref="K107:N107"/>
    <mergeCell ref="O107:O108"/>
    <mergeCell ref="A104:G104"/>
    <mergeCell ref="W105:AC105"/>
    <mergeCell ref="A106:A108"/>
    <mergeCell ref="B106:D108"/>
    <mergeCell ref="E106:I106"/>
    <mergeCell ref="J106:N106"/>
    <mergeCell ref="O106:S106"/>
    <mergeCell ref="T106:X106"/>
    <mergeCell ref="U107:X107"/>
    <mergeCell ref="Y107:Y108"/>
    <mergeCell ref="Y106:AC106"/>
    <mergeCell ref="E107:E108"/>
    <mergeCell ref="B97:D97"/>
    <mergeCell ref="B98:D98"/>
    <mergeCell ref="B99:D99"/>
    <mergeCell ref="B100:D100"/>
    <mergeCell ref="B101:D101"/>
    <mergeCell ref="B102:D102"/>
    <mergeCell ref="P107:S107"/>
    <mergeCell ref="T107:T108"/>
    <mergeCell ref="B90:D90"/>
    <mergeCell ref="A92:I92"/>
    <mergeCell ref="A94:A96"/>
    <mergeCell ref="B94:D96"/>
    <mergeCell ref="E94:E96"/>
    <mergeCell ref="F94:F96"/>
    <mergeCell ref="G94:G96"/>
    <mergeCell ref="H94:L94"/>
    <mergeCell ref="H95:H96"/>
    <mergeCell ref="I95:L95"/>
    <mergeCell ref="H83:L83"/>
    <mergeCell ref="B85:D85"/>
    <mergeCell ref="B86:D86"/>
    <mergeCell ref="B87:D87"/>
    <mergeCell ref="B88:D88"/>
    <mergeCell ref="B89:D89"/>
    <mergeCell ref="B75:D75"/>
    <mergeCell ref="B76:D76"/>
    <mergeCell ref="B77:D77"/>
    <mergeCell ref="B78:D78"/>
    <mergeCell ref="A81:K81"/>
    <mergeCell ref="A83:A84"/>
    <mergeCell ref="B83:D84"/>
    <mergeCell ref="E83:E84"/>
    <mergeCell ref="F83:F84"/>
    <mergeCell ref="G83:G84"/>
    <mergeCell ref="B69:D69"/>
    <mergeCell ref="B70:D70"/>
    <mergeCell ref="B71:D71"/>
    <mergeCell ref="B72:D72"/>
    <mergeCell ref="B73:D73"/>
    <mergeCell ref="B74:D74"/>
    <mergeCell ref="B67:D67"/>
    <mergeCell ref="E67:F67"/>
    <mergeCell ref="G67:H67"/>
    <mergeCell ref="I67:K67"/>
    <mergeCell ref="B68:D68"/>
    <mergeCell ref="E68:F68"/>
    <mergeCell ref="G68:H68"/>
    <mergeCell ref="I68:K68"/>
    <mergeCell ref="B61:D61"/>
    <mergeCell ref="I61:K61"/>
    <mergeCell ref="B62:D62"/>
    <mergeCell ref="I62:K62"/>
    <mergeCell ref="B63:D63"/>
    <mergeCell ref="I63:K63"/>
    <mergeCell ref="B58:D58"/>
    <mergeCell ref="I58:K58"/>
    <mergeCell ref="B59:D59"/>
    <mergeCell ref="I59:K59"/>
    <mergeCell ref="B60:D60"/>
    <mergeCell ref="I60:K60"/>
    <mergeCell ref="A42:A43"/>
    <mergeCell ref="B42:C42"/>
    <mergeCell ref="D42:E42"/>
    <mergeCell ref="F42:G42"/>
    <mergeCell ref="H42:I42"/>
    <mergeCell ref="J42:K42"/>
    <mergeCell ref="F34:G34"/>
    <mergeCell ref="H34:I34"/>
    <mergeCell ref="F35:G35"/>
    <mergeCell ref="H35:I35"/>
    <mergeCell ref="F36:G36"/>
    <mergeCell ref="H36:I36"/>
    <mergeCell ref="F31:G31"/>
    <mergeCell ref="H31:I31"/>
    <mergeCell ref="F32:G32"/>
    <mergeCell ref="H32:I32"/>
    <mergeCell ref="F33:G33"/>
    <mergeCell ref="H33:I33"/>
    <mergeCell ref="F28:G28"/>
    <mergeCell ref="H28:I28"/>
    <mergeCell ref="F29:G29"/>
    <mergeCell ref="H29:I29"/>
    <mergeCell ref="F30:G30"/>
    <mergeCell ref="H30:I30"/>
    <mergeCell ref="F25:G25"/>
    <mergeCell ref="H25:I25"/>
    <mergeCell ref="F26:G26"/>
    <mergeCell ref="H26:I26"/>
    <mergeCell ref="F27:G27"/>
    <mergeCell ref="H27:I27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18:G18"/>
    <mergeCell ref="H18:I18"/>
    <mergeCell ref="F13:G13"/>
    <mergeCell ref="H13:I13"/>
    <mergeCell ref="F14:G14"/>
    <mergeCell ref="H14:I14"/>
    <mergeCell ref="F15:G15"/>
    <mergeCell ref="H15:I15"/>
    <mergeCell ref="F22:G22"/>
    <mergeCell ref="H22:I22"/>
    <mergeCell ref="A4:I4"/>
    <mergeCell ref="A5:I5"/>
    <mergeCell ref="A6:I6"/>
    <mergeCell ref="A7:I7"/>
    <mergeCell ref="F12:G12"/>
    <mergeCell ref="H12:I12"/>
    <mergeCell ref="F16:G16"/>
    <mergeCell ref="H16:I16"/>
    <mergeCell ref="F17:G17"/>
    <mergeCell ref="H17:I17"/>
  </mergeCells>
  <pageMargins left="0.51181102362204722" right="0.51181102362204722" top="0.55118110236220474" bottom="0.55118110236220474" header="0.31496062992125984" footer="0.31496062992125984"/>
  <pageSetup paperSize="9" scale="5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6" sqref="A6"/>
    </sheetView>
  </sheetViews>
  <sheetFormatPr defaultRowHeight="12.75"/>
  <cols>
    <col min="1" max="1" width="121.5703125" customWidth="1"/>
  </cols>
  <sheetData>
    <row r="1" spans="1:1" ht="36.75" customHeight="1">
      <c r="A1" s="111" t="s">
        <v>357</v>
      </c>
    </row>
    <row r="2" spans="1:1" ht="36.75" customHeight="1">
      <c r="A2" s="111" t="s">
        <v>358</v>
      </c>
    </row>
    <row r="3" spans="1:1" ht="36.75" customHeight="1">
      <c r="A3" s="111" t="s">
        <v>359</v>
      </c>
    </row>
    <row r="4" spans="1:1" ht="36.75" customHeight="1">
      <c r="A4" s="111" t="s">
        <v>360</v>
      </c>
    </row>
    <row r="5" spans="1:1" ht="36.75" customHeight="1">
      <c r="A5" s="111" t="s">
        <v>361</v>
      </c>
    </row>
    <row r="6" spans="1:1" ht="36.75" customHeight="1">
      <c r="A6" s="111" t="s">
        <v>363</v>
      </c>
    </row>
    <row r="7" spans="1:1" ht="36.75" customHeight="1">
      <c r="A7" s="111" t="s">
        <v>362</v>
      </c>
    </row>
    <row r="8" spans="1:1" ht="18.75">
      <c r="A8" s="243" t="s">
        <v>410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Фінплан - зведені показники</vt:lpstr>
      <vt:lpstr>1.Фінансовий результат</vt:lpstr>
      <vt:lpstr>2. Розрахунки з бюджетом</vt:lpstr>
      <vt:lpstr>3. Рух грошових коштів</vt:lpstr>
      <vt:lpstr>4. Кап. інвестиції</vt:lpstr>
      <vt:lpstr>5. Інша інформація</vt:lpstr>
      <vt:lpstr>Лист1</vt:lpstr>
      <vt:lpstr>Лист2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'1.Фінансовий результат'!Область_печати</vt:lpstr>
      <vt:lpstr>'2. Розрахунки з бюджетом'!Область_печати</vt:lpstr>
      <vt:lpstr>'4. Кап. інвестиції'!Область_печати</vt:lpstr>
      <vt:lpstr>'5. Інша інформація'!Область_печати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Голубченко Анна</cp:lastModifiedBy>
  <cp:lastPrinted>2020-01-21T09:08:47Z</cp:lastPrinted>
  <dcterms:created xsi:type="dcterms:W3CDTF">2003-03-13T16:00:22Z</dcterms:created>
  <dcterms:modified xsi:type="dcterms:W3CDTF">2020-01-23T12:25:24Z</dcterms:modified>
</cp:coreProperties>
</file>